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Google Drive\PPFC\Admin and Dispatch\Electronic W &amp; B\Release Candidate\"/>
    </mc:Choice>
  </mc:AlternateContent>
  <xr:revisionPtr revIDLastSave="0" documentId="13_ncr:1_{6C346246-A935-42C7-97C7-1E2DFDE8927C}" xr6:coauthVersionLast="45" xr6:coauthVersionMax="45" xr10:uidLastSave="{00000000-0000-0000-0000-000000000000}"/>
  <bookViews>
    <workbookView xWindow="-110" yWindow="-110" windowWidth="34620" windowHeight="14020" xr2:uid="{00000000-000D-0000-FFFF-FFFF00000000}"/>
  </bookViews>
  <sheets>
    <sheet name="DA42" sheetId="1" r:id="rId1"/>
    <sheet name="Changelog" sheetId="3" r:id="rId2"/>
    <sheet name="Data" sheetId="2" state="hidden" r:id="rId3"/>
  </sheets>
  <definedNames>
    <definedName name="idents">Data!$F$3:$F$3</definedName>
    <definedName name="_xlnm.Print_Area" localSheetId="0">'DA42'!$B$1:$O$54,'DA42'!$D$83:$P$126</definedName>
    <definedName name="Z_19898B3C_F880_11DE_A5CE_0026BB674B30_.wvu.Cols" localSheetId="0" hidden="1">'DA42'!$O:$R</definedName>
    <definedName name="Z_19898B3C_F880_11DE_A5CE_0026BB674B30_.wvu.PrintArea" localSheetId="0" hidden="1">'DA42'!$B$2:$T$58</definedName>
  </definedNames>
  <calcPr calcId="191029"/>
  <customWorkbookViews>
    <customWorkbookView name="main view" guid="{19898B3C-F880-11DE-A5CE-0026BB674B30}" showHorizontalScroll="0" showVerticalScroll="0" showSheetTabs="0" xWindow="50" yWindow="23" windowWidth="1722" windowHeight="853" activeSheetId="1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" i="1" l="1"/>
  <c r="B21" i="2"/>
  <c r="B20" i="2"/>
  <c r="I18" i="1"/>
  <c r="I16" i="1"/>
  <c r="I27" i="1"/>
  <c r="M15" i="1"/>
  <c r="M14" i="1"/>
  <c r="I29" i="1" l="1"/>
  <c r="L14" i="1"/>
  <c r="N14" i="1" s="1"/>
  <c r="J1" i="1" l="1"/>
  <c r="L10" i="1" l="1"/>
  <c r="N10" i="1" s="1"/>
  <c r="C31" i="2" l="1"/>
  <c r="C32" i="2"/>
  <c r="M19" i="1" l="1"/>
  <c r="M17" i="1"/>
  <c r="M7" i="1"/>
  <c r="B16" i="2"/>
  <c r="B17" i="2"/>
  <c r="L9" i="1" l="1"/>
  <c r="L7" i="1"/>
  <c r="L19" i="1" l="1"/>
  <c r="N19" i="1" s="1"/>
  <c r="L11" i="1"/>
  <c r="N11" i="1" s="1"/>
  <c r="N9" i="1"/>
  <c r="L8" i="1"/>
  <c r="L12" i="1"/>
  <c r="N12" i="1" s="1"/>
  <c r="L15" i="1"/>
  <c r="N15" i="1" s="1"/>
  <c r="N17" i="1"/>
  <c r="L13" i="1" l="1"/>
  <c r="N8" i="1"/>
  <c r="L16" i="1" l="1"/>
  <c r="L18" i="1" s="1"/>
  <c r="B11" i="2"/>
  <c r="N13" i="1"/>
  <c r="N16" i="1" s="1"/>
  <c r="N18" i="1" l="1"/>
  <c r="M16" i="1"/>
  <c r="K21" i="1"/>
  <c r="I21" i="1"/>
  <c r="B13" i="2"/>
  <c r="M13" i="1"/>
  <c r="L20" i="1"/>
  <c r="I26" i="1" s="1"/>
  <c r="M18" i="1" l="1"/>
  <c r="N20" i="1"/>
  <c r="M20" i="1" s="1"/>
  <c r="B12" i="2"/>
  <c r="C11" i="2"/>
  <c r="C13" i="2" l="1"/>
  <c r="I28" i="1"/>
  <c r="C30" i="2"/>
  <c r="C12" i="2"/>
</calcChain>
</file>

<file path=xl/sharedStrings.xml><?xml version="1.0" encoding="utf-8"?>
<sst xmlns="http://schemas.openxmlformats.org/spreadsheetml/2006/main" count="81" uniqueCount="77">
  <si>
    <t>Qty</t>
  </si>
  <si>
    <t>Weight</t>
  </si>
  <si>
    <t>Arm</t>
  </si>
  <si>
    <t>Moment</t>
  </si>
  <si>
    <t>Basic Empty Weight</t>
  </si>
  <si>
    <t>Aircraft Specifications</t>
  </si>
  <si>
    <t>Fuel Allowance for taxi/runup</t>
  </si>
  <si>
    <t xml:space="preserve"> </t>
  </si>
  <si>
    <t>WB Graph Envelope (Red)</t>
  </si>
  <si>
    <t>Weight and Balance Worksheet</t>
  </si>
  <si>
    <t>WB Moment Graph Points</t>
  </si>
  <si>
    <t>Maximum gross weight</t>
  </si>
  <si>
    <t>Basic empty weight</t>
  </si>
  <si>
    <t>Fuel max gal</t>
  </si>
  <si>
    <t xml:space="preserve"> Trainee's Acknowledgement:</t>
  </si>
  <si>
    <t xml:space="preserve"> Instructor's Name:</t>
  </si>
  <si>
    <t xml:space="preserve"> Flight Instructor's Authorization:</t>
  </si>
  <si>
    <t xml:space="preserve"> Pre-Flight Inspection and Breifing Completed:</t>
  </si>
  <si>
    <t>Student Initials</t>
  </si>
  <si>
    <t>Instructor Initials</t>
  </si>
  <si>
    <t>Flight Authorization</t>
  </si>
  <si>
    <t>!!! Warning Messages !!!</t>
  </si>
  <si>
    <t>Ident</t>
  </si>
  <si>
    <t>Empty Weight</t>
  </si>
  <si>
    <t>Empty Arm</t>
  </si>
  <si>
    <t>Max Fuel</t>
  </si>
  <si>
    <t>Landing</t>
  </si>
  <si>
    <t>Takeoff</t>
  </si>
  <si>
    <t>Chart Label</t>
  </si>
  <si>
    <t>Initials</t>
  </si>
  <si>
    <t>Rear Passenger #1</t>
  </si>
  <si>
    <t>Rear Passenger #2</t>
  </si>
  <si>
    <t>Max Weight</t>
  </si>
  <si>
    <t>Co-Pilot Seat Name</t>
  </si>
  <si>
    <t>Pilot Seat Name</t>
  </si>
  <si>
    <t>Rear Passengers</t>
  </si>
  <si>
    <t>Condition1</t>
  </si>
  <si>
    <t>Condition2</t>
  </si>
  <si>
    <t>Condition3</t>
  </si>
  <si>
    <t xml:space="preserve"> Date:</t>
  </si>
  <si>
    <t>Date</t>
  </si>
  <si>
    <t>Version</t>
  </si>
  <si>
    <t>Changes</t>
  </si>
  <si>
    <t>ZFW</t>
  </si>
  <si>
    <t>W&amp;B Data Calculated at:</t>
  </si>
  <si>
    <t>Both instructor and student acknowledge that this flight will be carried out according to Professional Flight Centre's rules and will obey all Canadian Aviaiton Regualations</t>
  </si>
  <si>
    <t>1. Initial version with up-to-date airplane weight and CG data</t>
  </si>
  <si>
    <t>Empty Moment</t>
  </si>
  <si>
    <t>Following (Non-Editable) Sheet Will be Printed as Second Page</t>
  </si>
  <si>
    <t>Diamond DA42</t>
  </si>
  <si>
    <t>Pilot &amp; Co-Pilot</t>
  </si>
  <si>
    <t>Baggage Nose (66 lbs max)</t>
  </si>
  <si>
    <r>
      <t xml:space="preserve">Baggage Cabin </t>
    </r>
    <r>
      <rPr>
        <sz val="8"/>
        <color theme="4" tint="-0.249977111117893"/>
        <rFont val="Arial"/>
        <family val="2"/>
      </rPr>
      <t>(100 lbs max)</t>
    </r>
  </si>
  <si>
    <r>
      <t xml:space="preserve">Baggage Extension </t>
    </r>
    <r>
      <rPr>
        <sz val="8"/>
        <color theme="4" tint="-0.249977111117893"/>
        <rFont val="Arial"/>
        <family val="2"/>
      </rPr>
      <t>(40 lbs Max)</t>
    </r>
  </si>
  <si>
    <t>Zero Fuel (3638 lbs MAX)</t>
  </si>
  <si>
    <r>
      <t xml:space="preserve">Main Fuel </t>
    </r>
    <r>
      <rPr>
        <sz val="8"/>
        <color theme="4" tint="-0.249977111117893"/>
        <rFont val="Arial"/>
        <family val="2"/>
      </rPr>
      <t>(US GAL)</t>
    </r>
  </si>
  <si>
    <r>
      <t xml:space="preserve">AUX Fuel </t>
    </r>
    <r>
      <rPr>
        <sz val="8"/>
        <color theme="4" tint="-0.249977111117893"/>
        <rFont val="Arial"/>
        <family val="2"/>
      </rPr>
      <t>(US GAL)</t>
    </r>
  </si>
  <si>
    <r>
      <t xml:space="preserve">Trip Fuel </t>
    </r>
    <r>
      <rPr>
        <sz val="8"/>
        <color theme="4" tint="-0.249977111117893"/>
        <rFont val="Arial"/>
        <family val="2"/>
      </rPr>
      <t>(US GAL)</t>
    </r>
  </si>
  <si>
    <t>Landing Weight (3748 lbs MAX)</t>
  </si>
  <si>
    <t>Main Fuel Arm</t>
  </si>
  <si>
    <t>AUX Fuel Arm</t>
  </si>
  <si>
    <t>C-GXRE</t>
  </si>
  <si>
    <t>* The maximum baggage weight in Cabin &amp; Extension combined is 100 lbs</t>
  </si>
  <si>
    <t>Baggage maximum Nose</t>
  </si>
  <si>
    <t>Baggage maximum Cabin and Extension</t>
  </si>
  <si>
    <t>Max Aux Fuel</t>
  </si>
  <si>
    <t>Fuel Aux Max gal</t>
  </si>
  <si>
    <t>Max Zero Fuel Line</t>
  </si>
  <si>
    <t>42.0.0.1</t>
  </si>
  <si>
    <t>Aircraft Oil Requirements</t>
  </si>
  <si>
    <t>Minimum (Based on POH)</t>
  </si>
  <si>
    <t>Maximum (Based on POH)</t>
  </si>
  <si>
    <t>4 quarts</t>
  </si>
  <si>
    <t>8 quarts</t>
  </si>
  <si>
    <t>Ver. 42.0.0.2</t>
  </si>
  <si>
    <t>42.0.0.2</t>
  </si>
  <si>
    <t>1. Added aircraft oil requirement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</si>
</sst>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;[Red]0.0"/>
    <numFmt numFmtId="166" formatCode="m/d/yyyy\ hh:mm:ss\ AM/PM"/>
  </numFmts>
  <fonts count="36" x14ac:knownFonts="1">
    <font>
      <sz val="10"/>
      <name val="MS Sans Serif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sz val="10"/>
      <color indexed="18"/>
      <name val="MS Sans Serif"/>
    </font>
    <font>
      <sz val="10"/>
      <name val="MS Sans Serif"/>
    </font>
    <font>
      <i/>
      <sz val="8"/>
      <color indexed="18"/>
      <name val="Arial"/>
      <family val="2"/>
    </font>
    <font>
      <i/>
      <sz val="10"/>
      <color indexed="18"/>
      <name val="MS Sans Serif"/>
    </font>
    <font>
      <sz val="10"/>
      <name val="MS Sans Serif"/>
    </font>
    <font>
      <sz val="10"/>
      <name val="Courier New"/>
      <family val="3"/>
    </font>
    <font>
      <sz val="8"/>
      <color indexed="8"/>
      <name val="Arial"/>
      <family val="2"/>
    </font>
    <font>
      <i/>
      <sz val="8"/>
      <color indexed="32"/>
      <name val="Arial"/>
      <family val="2"/>
    </font>
    <font>
      <b/>
      <sz val="8"/>
      <color theme="1"/>
      <name val="Arial"/>
      <family val="2"/>
    </font>
    <font>
      <sz val="8"/>
      <color theme="4"/>
      <name val="Arial"/>
      <family val="2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sz val="8"/>
      <color indexed="8"/>
      <name val="Calibri Light"/>
      <family val="2"/>
      <scheme val="major"/>
    </font>
    <font>
      <sz val="10"/>
      <color indexed="10"/>
      <name val="Arial"/>
      <family val="2"/>
    </font>
    <font>
      <b/>
      <sz val="8"/>
      <color rgb="FFFF0000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b/>
      <sz val="18"/>
      <color theme="4" tint="-0.249977111117893"/>
      <name val="Arial"/>
      <family val="2"/>
    </font>
    <font>
      <sz val="8"/>
      <color theme="4" tint="-0.249977111117893"/>
      <name val="Arial"/>
      <family val="2"/>
    </font>
    <font>
      <i/>
      <sz val="14"/>
      <name val="Arial Black"/>
      <family val="2"/>
    </font>
    <font>
      <sz val="10"/>
      <name val="Arial"/>
      <family val="2"/>
    </font>
    <font>
      <sz val="5"/>
      <name val="Arial"/>
      <family val="2"/>
    </font>
    <font>
      <b/>
      <u/>
      <sz val="10"/>
      <name val="Arial"/>
      <family val="2"/>
    </font>
    <font>
      <sz val="13"/>
      <name val="Arial"/>
      <family val="2"/>
    </font>
    <font>
      <sz val="4"/>
      <name val="Arial"/>
      <family val="2"/>
    </font>
    <font>
      <sz val="9.5"/>
      <name val="Arial"/>
      <family val="2"/>
    </font>
    <font>
      <i/>
      <sz val="10"/>
      <color theme="0"/>
      <name val="Arial Black"/>
      <family val="2"/>
    </font>
    <font>
      <b/>
      <sz val="10"/>
      <name val="MS Sans Serif"/>
    </font>
    <font>
      <b/>
      <sz val="16"/>
      <color theme="4" tint="-0.249977111117893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0" xfId="0" applyFont="1" applyProtection="1"/>
    <xf numFmtId="0" fontId="1" fillId="0" borderId="0" xfId="0" applyFont="1" applyFill="1" applyBorder="1" applyProtection="1"/>
    <xf numFmtId="0" fontId="1" fillId="0" borderId="0" xfId="0" applyFont="1" applyFill="1" applyProtection="1"/>
    <xf numFmtId="0" fontId="0" fillId="0" borderId="0" xfId="0" applyFill="1" applyProtection="1"/>
    <xf numFmtId="0" fontId="9" fillId="0" borderId="0" xfId="0" applyFont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1" fillId="2" borderId="18" xfId="0" applyFont="1" applyFill="1" applyBorder="1" applyProtection="1"/>
    <xf numFmtId="0" fontId="1" fillId="2" borderId="5" xfId="0" applyFont="1" applyFill="1" applyBorder="1" applyProtection="1"/>
    <xf numFmtId="0" fontId="13" fillId="2" borderId="5" xfId="0" applyFont="1" applyFill="1" applyBorder="1" applyProtection="1"/>
    <xf numFmtId="0" fontId="1" fillId="2" borderId="4" xfId="0" applyFont="1" applyFill="1" applyBorder="1" applyProtection="1"/>
    <xf numFmtId="1" fontId="1" fillId="0" borderId="0" xfId="0" applyNumberFormat="1" applyFont="1" applyProtection="1"/>
    <xf numFmtId="0" fontId="1" fillId="2" borderId="0" xfId="0" applyFont="1" applyFill="1" applyProtection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0" fontId="8" fillId="2" borderId="0" xfId="0" applyFont="1" applyFill="1" applyBorder="1" applyAlignment="1"/>
    <xf numFmtId="0" fontId="1" fillId="2" borderId="14" xfId="0" applyFont="1" applyFill="1" applyBorder="1" applyProtection="1"/>
    <xf numFmtId="0" fontId="3" fillId="2" borderId="14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/>
    <xf numFmtId="165" fontId="1" fillId="2" borderId="11" xfId="0" applyNumberFormat="1" applyFont="1" applyFill="1" applyBorder="1" applyAlignment="1" applyProtection="1"/>
    <xf numFmtId="0" fontId="4" fillId="2" borderId="8" xfId="0" applyFont="1" applyFill="1" applyBorder="1" applyProtection="1"/>
    <xf numFmtId="0" fontId="1" fillId="2" borderId="11" xfId="0" applyFont="1" applyFill="1" applyBorder="1" applyProtection="1"/>
    <xf numFmtId="2" fontId="1" fillId="2" borderId="0" xfId="0" applyNumberFormat="1" applyFont="1" applyFill="1" applyBorder="1" applyProtection="1"/>
    <xf numFmtId="2" fontId="1" fillId="2" borderId="11" xfId="0" applyNumberFormat="1" applyFont="1" applyFill="1" applyBorder="1" applyProtection="1"/>
    <xf numFmtId="0" fontId="4" fillId="2" borderId="7" xfId="0" applyFont="1" applyFill="1" applyBorder="1" applyProtection="1"/>
    <xf numFmtId="0" fontId="1" fillId="2" borderId="1" xfId="0" applyFont="1" applyFill="1" applyBorder="1" applyProtection="1"/>
    <xf numFmtId="0" fontId="5" fillId="2" borderId="1" xfId="0" applyFont="1" applyFill="1" applyBorder="1" applyAlignment="1" applyProtection="1"/>
    <xf numFmtId="0" fontId="5" fillId="2" borderId="12" xfId="0" applyFont="1" applyFill="1" applyBorder="1" applyAlignment="1" applyProtection="1"/>
    <xf numFmtId="0" fontId="1" fillId="2" borderId="9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8" xfId="0" applyFont="1" applyFill="1" applyBorder="1" applyProtection="1"/>
    <xf numFmtId="0" fontId="1" fillId="2" borderId="12" xfId="0" applyFont="1" applyFill="1" applyBorder="1" applyProtection="1"/>
    <xf numFmtId="0" fontId="9" fillId="2" borderId="19" xfId="0" applyFont="1" applyFill="1" applyBorder="1" applyAlignment="1" applyProtection="1">
      <alignment horizontal="left"/>
    </xf>
    <xf numFmtId="0" fontId="9" fillId="2" borderId="2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" fillId="2" borderId="6" xfId="0" applyFont="1" applyFill="1" applyBorder="1" applyProtection="1"/>
    <xf numFmtId="0" fontId="12" fillId="2" borderId="0" xfId="0" applyFont="1" applyFill="1" applyBorder="1" applyProtection="1"/>
    <xf numFmtId="0" fontId="12" fillId="2" borderId="0" xfId="0" quotePrefix="1" applyFont="1" applyFill="1" applyBorder="1" applyAlignment="1" applyProtection="1">
      <alignment wrapText="1"/>
    </xf>
    <xf numFmtId="164" fontId="12" fillId="2" borderId="0" xfId="0" applyNumberFormat="1" applyFont="1" applyFill="1" applyBorder="1" applyProtection="1"/>
    <xf numFmtId="0" fontId="1" fillId="2" borderId="13" xfId="0" applyFont="1" applyFill="1" applyBorder="1" applyProtection="1"/>
    <xf numFmtId="0" fontId="12" fillId="2" borderId="13" xfId="0" applyFont="1" applyFill="1" applyBorder="1" applyProtection="1"/>
    <xf numFmtId="0" fontId="1" fillId="2" borderId="3" xfId="0" applyFont="1" applyFill="1" applyBorder="1" applyProtection="1"/>
    <xf numFmtId="0" fontId="1" fillId="0" borderId="13" xfId="0" applyFont="1" applyBorder="1" applyProtection="1"/>
    <xf numFmtId="0" fontId="1" fillId="0" borderId="13" xfId="0" applyFont="1" applyBorder="1" applyAlignment="1" applyProtection="1">
      <alignment horizontal="right"/>
    </xf>
    <xf numFmtId="0" fontId="13" fillId="2" borderId="0" xfId="0" applyFont="1" applyFill="1" applyBorder="1" applyProtection="1"/>
    <xf numFmtId="0" fontId="1" fillId="2" borderId="11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wrapText="1"/>
    </xf>
    <xf numFmtId="0" fontId="4" fillId="2" borderId="0" xfId="0" applyFont="1" applyFill="1" applyBorder="1" applyProtection="1"/>
    <xf numFmtId="0" fontId="4" fillId="2" borderId="1" xfId="0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center" wrapText="1"/>
    </xf>
    <xf numFmtId="1" fontId="10" fillId="2" borderId="13" xfId="0" applyNumberFormat="1" applyFont="1" applyFill="1" applyBorder="1" applyAlignment="1" applyProtection="1"/>
    <xf numFmtId="0" fontId="3" fillId="0" borderId="0" xfId="0" applyFont="1" applyFill="1" applyBorder="1" applyProtection="1"/>
    <xf numFmtId="164" fontId="1" fillId="0" borderId="0" xfId="0" applyNumberFormat="1" applyFont="1" applyFill="1" applyBorder="1" applyProtection="1"/>
    <xf numFmtId="0" fontId="1" fillId="0" borderId="0" xfId="0" quotePrefix="1" applyFont="1" applyFill="1" applyBorder="1" applyProtection="1"/>
    <xf numFmtId="1" fontId="1" fillId="0" borderId="0" xfId="0" applyNumberFormat="1" applyFont="1" applyFill="1" applyBorder="1" applyProtection="1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11" fillId="2" borderId="0" xfId="0" applyFont="1" applyFill="1" applyProtection="1"/>
    <xf numFmtId="0" fontId="6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26" fillId="2" borderId="0" xfId="0" applyFont="1" applyFill="1" applyAlignment="1">
      <alignment vertical="center"/>
    </xf>
    <xf numFmtId="0" fontId="6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32" fillId="0" borderId="0" xfId="0" applyFont="1" applyFill="1" applyAlignment="1">
      <alignment vertical="center"/>
    </xf>
    <xf numFmtId="166" fontId="1" fillId="0" borderId="0" xfId="0" applyNumberFormat="1" applyFont="1" applyAlignment="1" applyProtection="1">
      <alignment horizontal="left"/>
    </xf>
    <xf numFmtId="0" fontId="1" fillId="3" borderId="14" xfId="0" applyFont="1" applyFill="1" applyBorder="1" applyAlignment="1" applyProtection="1">
      <alignment vertical="center"/>
    </xf>
    <xf numFmtId="0" fontId="15" fillId="3" borderId="14" xfId="0" applyFont="1" applyFill="1" applyBorder="1" applyAlignment="1" applyProtection="1">
      <alignment vertical="center"/>
    </xf>
    <xf numFmtId="0" fontId="14" fillId="3" borderId="14" xfId="0" applyFont="1" applyFill="1" applyBorder="1" applyAlignment="1" applyProtection="1">
      <alignment vertical="center"/>
    </xf>
    <xf numFmtId="0" fontId="3" fillId="3" borderId="14" xfId="0" applyFont="1" applyFill="1" applyBorder="1" applyAlignment="1" applyProtection="1">
      <alignment horizontal="left" vertical="center"/>
    </xf>
    <xf numFmtId="164" fontId="1" fillId="3" borderId="14" xfId="0" applyNumberFormat="1" applyFont="1" applyFill="1" applyBorder="1" applyProtection="1"/>
    <xf numFmtId="2" fontId="1" fillId="3" borderId="14" xfId="0" applyNumberFormat="1" applyFont="1" applyFill="1" applyBorder="1" applyProtection="1"/>
    <xf numFmtId="3" fontId="15" fillId="3" borderId="14" xfId="0" applyNumberFormat="1" applyFont="1" applyFill="1" applyBorder="1" applyProtection="1"/>
    <xf numFmtId="3" fontId="14" fillId="3" borderId="14" xfId="0" applyNumberFormat="1" applyFont="1" applyFill="1" applyBorder="1" applyProtection="1"/>
    <xf numFmtId="3" fontId="3" fillId="3" borderId="14" xfId="0" applyNumberFormat="1" applyFont="1" applyFill="1" applyBorder="1" applyProtection="1"/>
    <xf numFmtId="0" fontId="15" fillId="3" borderId="14" xfId="0" applyFont="1" applyFill="1" applyBorder="1" applyProtection="1"/>
    <xf numFmtId="164" fontId="15" fillId="3" borderId="14" xfId="0" applyNumberFormat="1" applyFont="1" applyFill="1" applyBorder="1" applyProtection="1"/>
    <xf numFmtId="164" fontId="14" fillId="3" borderId="14" xfId="0" applyNumberFormat="1" applyFont="1" applyFill="1" applyBorder="1" applyProtection="1"/>
    <xf numFmtId="164" fontId="3" fillId="3" borderId="14" xfId="0" applyNumberFormat="1" applyFont="1" applyFill="1" applyBorder="1" applyProtection="1"/>
    <xf numFmtId="0" fontId="32" fillId="2" borderId="0" xfId="0" applyFont="1" applyFill="1" applyAlignment="1">
      <alignment horizontal="left" vertical="center"/>
    </xf>
    <xf numFmtId="0" fontId="1" fillId="2" borderId="1" xfId="0" applyFont="1" applyFill="1" applyBorder="1" applyProtection="1"/>
    <xf numFmtId="166" fontId="1" fillId="0" borderId="13" xfId="0" applyNumberFormat="1" applyFont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center"/>
    </xf>
    <xf numFmtId="15" fontId="0" fillId="0" borderId="0" xfId="0" applyNumberFormat="1"/>
    <xf numFmtId="0" fontId="33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33" fillId="0" borderId="14" xfId="0" applyFont="1" applyFill="1" applyBorder="1" applyAlignment="1" applyProtection="1"/>
    <xf numFmtId="0" fontId="33" fillId="0" borderId="14" xfId="0" applyFont="1" applyFill="1" applyBorder="1" applyProtection="1"/>
    <xf numFmtId="1" fontId="18" fillId="0" borderId="14" xfId="0" applyNumberFormat="1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17" fillId="0" borderId="0" xfId="0" applyFont="1" applyFill="1"/>
    <xf numFmtId="0" fontId="17" fillId="0" borderId="14" xfId="0" applyFont="1" applyFill="1" applyBorder="1"/>
    <xf numFmtId="0" fontId="33" fillId="0" borderId="14" xfId="0" applyFont="1" applyFill="1" applyBorder="1"/>
    <xf numFmtId="0" fontId="0" fillId="0" borderId="14" xfId="0" applyFill="1" applyBorder="1"/>
    <xf numFmtId="164" fontId="17" fillId="0" borderId="14" xfId="0" applyNumberFormat="1" applyFont="1" applyFill="1" applyBorder="1" applyProtection="1"/>
    <xf numFmtId="1" fontId="17" fillId="0" borderId="14" xfId="0" applyNumberFormat="1" applyFont="1" applyFill="1" applyBorder="1" applyProtection="1"/>
    <xf numFmtId="0" fontId="0" fillId="0" borderId="14" xfId="0" applyBorder="1"/>
    <xf numFmtId="4" fontId="1" fillId="3" borderId="14" xfId="0" applyNumberFormat="1" applyFont="1" applyFill="1" applyBorder="1" applyProtection="1"/>
    <xf numFmtId="0" fontId="1" fillId="2" borderId="0" xfId="0" applyFont="1" applyFill="1" applyBorder="1" applyProtection="1"/>
    <xf numFmtId="164" fontId="18" fillId="0" borderId="14" xfId="0" applyNumberFormat="1" applyFont="1" applyFill="1" applyBorder="1" applyAlignment="1" applyProtection="1">
      <alignment horizontal="center"/>
    </xf>
    <xf numFmtId="2" fontId="18" fillId="0" borderId="14" xfId="0" applyNumberFormat="1" applyFont="1" applyFill="1" applyBorder="1" applyAlignment="1" applyProtection="1">
      <alignment horizontal="center"/>
    </xf>
    <xf numFmtId="0" fontId="34" fillId="3" borderId="21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12" fillId="0" borderId="0" xfId="0" applyFont="1" applyFill="1" applyBorder="1"/>
    <xf numFmtId="0" fontId="0" fillId="0" borderId="14" xfId="0" applyFill="1" applyBorder="1" applyAlignment="1" applyProtection="1">
      <alignment horizontal="right"/>
    </xf>
    <xf numFmtId="0" fontId="33" fillId="0" borderId="14" xfId="0" applyFont="1" applyBorder="1" applyAlignment="1"/>
    <xf numFmtId="2" fontId="15" fillId="3" borderId="14" xfId="0" applyNumberFormat="1" applyFont="1" applyFill="1" applyBorder="1" applyProtection="1"/>
    <xf numFmtId="2" fontId="14" fillId="3" borderId="14" xfId="0" applyNumberFormat="1" applyFont="1" applyFill="1" applyBorder="1" applyProtection="1"/>
    <xf numFmtId="2" fontId="3" fillId="3" borderId="14" xfId="0" applyNumberFormat="1" applyFont="1" applyFill="1" applyBorder="1" applyProtection="1"/>
    <xf numFmtId="0" fontId="1" fillId="2" borderId="10" xfId="0" applyFont="1" applyFill="1" applyBorder="1" applyProtection="1"/>
    <xf numFmtId="0" fontId="1" fillId="2" borderId="0" xfId="0" applyFont="1" applyFill="1" applyBorder="1" applyProtection="1"/>
    <xf numFmtId="2" fontId="0" fillId="0" borderId="14" xfId="0" applyNumberFormat="1" applyFill="1" applyBorder="1" applyProtection="1"/>
    <xf numFmtId="0" fontId="3" fillId="0" borderId="0" xfId="0" applyFont="1" applyAlignment="1" applyProtection="1">
      <alignment horizont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1" fillId="2" borderId="24" xfId="0" applyFont="1" applyFill="1" applyBorder="1" applyAlignment="1" applyProtection="1">
      <alignment wrapText="1"/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0" fontId="1" fillId="2" borderId="26" xfId="0" applyFont="1" applyFill="1" applyBorder="1" applyAlignment="1" applyProtection="1">
      <alignment wrapText="1"/>
      <protection locked="0"/>
    </xf>
    <xf numFmtId="0" fontId="3" fillId="2" borderId="24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1" fillId="2" borderId="24" xfId="0" applyFont="1" applyFill="1" applyBorder="1" applyAlignment="1" applyProtection="1">
      <alignment horizontal="center" wrapText="1"/>
    </xf>
    <xf numFmtId="0" fontId="1" fillId="2" borderId="25" xfId="0" applyFont="1" applyFill="1" applyBorder="1" applyAlignment="1" applyProtection="1">
      <alignment horizontal="center" wrapText="1"/>
    </xf>
    <xf numFmtId="0" fontId="1" fillId="2" borderId="26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0" fontId="1" fillId="3" borderId="15" xfId="0" applyFont="1" applyFill="1" applyBorder="1" applyProtection="1"/>
    <xf numFmtId="0" fontId="1" fillId="3" borderId="17" xfId="0" applyFont="1" applyFill="1" applyBorder="1" applyProtection="1"/>
    <xf numFmtId="1" fontId="15" fillId="2" borderId="15" xfId="0" applyNumberFormat="1" applyFont="1" applyFill="1" applyBorder="1" applyProtection="1">
      <protection locked="0"/>
    </xf>
    <xf numFmtId="1" fontId="15" fillId="2" borderId="17" xfId="0" applyNumberFormat="1" applyFont="1" applyFill="1" applyBorder="1" applyProtection="1">
      <protection locked="0"/>
    </xf>
    <xf numFmtId="0" fontId="15" fillId="2" borderId="15" xfId="0" applyFont="1" applyFill="1" applyBorder="1" applyProtection="1">
      <protection locked="0"/>
    </xf>
    <xf numFmtId="0" fontId="15" fillId="2" borderId="17" xfId="0" applyFont="1" applyFill="1" applyBorder="1" applyProtection="1">
      <protection locked="0"/>
    </xf>
    <xf numFmtId="0" fontId="14" fillId="3" borderId="15" xfId="0" applyFont="1" applyFill="1" applyBorder="1" applyProtection="1"/>
    <xf numFmtId="0" fontId="14" fillId="3" borderId="17" xfId="0" applyFont="1" applyFill="1" applyBorder="1" applyProtection="1"/>
    <xf numFmtId="0" fontId="15" fillId="3" borderId="15" xfId="0" applyFont="1" applyFill="1" applyBorder="1" applyProtection="1"/>
    <xf numFmtId="0" fontId="15" fillId="3" borderId="17" xfId="0" applyFont="1" applyFill="1" applyBorder="1" applyProtection="1"/>
    <xf numFmtId="0" fontId="1" fillId="2" borderId="9" xfId="0" applyFont="1" applyFill="1" applyBorder="1" applyProtection="1"/>
    <xf numFmtId="0" fontId="1" fillId="2" borderId="10" xfId="0" applyFont="1" applyFill="1" applyBorder="1" applyProtection="1"/>
    <xf numFmtId="0" fontId="20" fillId="2" borderId="2" xfId="0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</xf>
    <xf numFmtId="0" fontId="1" fillId="2" borderId="0" xfId="0" applyFont="1" applyFill="1" applyBorder="1" applyProtection="1"/>
    <xf numFmtId="0" fontId="1" fillId="2" borderId="7" xfId="0" applyFont="1" applyFill="1" applyBorder="1" applyProtection="1"/>
    <xf numFmtId="0" fontId="1" fillId="2" borderId="12" xfId="0" applyFont="1" applyFill="1" applyBorder="1" applyProtection="1"/>
    <xf numFmtId="166" fontId="1" fillId="0" borderId="13" xfId="0" applyNumberFormat="1" applyFont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right"/>
    </xf>
    <xf numFmtId="0" fontId="3" fillId="2" borderId="17" xfId="0" applyFont="1" applyFill="1" applyBorder="1" applyAlignment="1" applyProtection="1">
      <alignment horizontal="right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0" fontId="23" fillId="2" borderId="23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1" fillId="0" borderId="7" xfId="0" applyFont="1" applyBorder="1" applyProtection="1"/>
    <xf numFmtId="0" fontId="1" fillId="0" borderId="12" xfId="0" applyFont="1" applyBorder="1" applyProtection="1"/>
    <xf numFmtId="0" fontId="1" fillId="2" borderId="14" xfId="0" applyFont="1" applyFill="1" applyBorder="1" applyAlignment="1" applyProtection="1">
      <alignment horizontal="left"/>
    </xf>
    <xf numFmtId="0" fontId="19" fillId="3" borderId="15" xfId="0" applyFont="1" applyFill="1" applyBorder="1" applyAlignment="1" applyProtection="1">
      <alignment horizontal="center"/>
    </xf>
    <xf numFmtId="0" fontId="19" fillId="3" borderId="16" xfId="0" applyFont="1" applyFill="1" applyBorder="1" applyAlignment="1" applyProtection="1">
      <alignment horizontal="center"/>
    </xf>
    <xf numFmtId="0" fontId="19" fillId="3" borderId="17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left"/>
    </xf>
    <xf numFmtId="0" fontId="3" fillId="3" borderId="17" xfId="0" applyFont="1" applyFill="1" applyBorder="1" applyAlignment="1" applyProtection="1">
      <alignment horizontal="left"/>
    </xf>
    <xf numFmtId="0" fontId="22" fillId="3" borderId="9" xfId="0" applyFont="1" applyFill="1" applyBorder="1" applyAlignment="1" applyProtection="1">
      <alignment horizontal="center" vertical="center"/>
    </xf>
    <xf numFmtId="0" fontId="22" fillId="3" borderId="2" xfId="0" applyFont="1" applyFill="1" applyBorder="1" applyAlignment="1" applyProtection="1">
      <alignment horizontal="center" vertical="center"/>
    </xf>
    <xf numFmtId="0" fontId="22" fillId="3" borderId="10" xfId="0" applyFont="1" applyFill="1" applyBorder="1" applyAlignment="1" applyProtection="1">
      <alignment horizontal="center" vertical="center"/>
    </xf>
    <xf numFmtId="0" fontId="22" fillId="3" borderId="7" xfId="0" applyFont="1" applyFill="1" applyBorder="1" applyAlignment="1" applyProtection="1">
      <alignment horizontal="center" vertical="center"/>
    </xf>
    <xf numFmtId="0" fontId="22" fillId="3" borderId="1" xfId="0" applyFont="1" applyFill="1" applyBorder="1" applyAlignment="1" applyProtection="1">
      <alignment horizontal="center" vertical="center"/>
    </xf>
    <xf numFmtId="0" fontId="22" fillId="3" borderId="12" xfId="0" applyFont="1" applyFill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center" vertical="center"/>
    </xf>
    <xf numFmtId="0" fontId="2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21" fillId="2" borderId="9" xfId="0" applyFont="1" applyFill="1" applyBorder="1" applyAlignment="1" applyProtection="1">
      <alignment horizontal="center" vertical="center" wrapText="1"/>
    </xf>
    <xf numFmtId="0" fontId="21" fillId="2" borderId="2" xfId="0" applyFont="1" applyFill="1" applyBorder="1" applyAlignment="1" applyProtection="1">
      <alignment horizontal="center" vertical="center" wrapText="1"/>
    </xf>
    <xf numFmtId="0" fontId="21" fillId="2" borderId="10" xfId="0" applyFont="1" applyFill="1" applyBorder="1" applyAlignment="1" applyProtection="1">
      <alignment horizontal="center" vertical="center" wrapText="1"/>
    </xf>
    <xf numFmtId="0" fontId="21" fillId="2" borderId="8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21" fillId="2" borderId="11" xfId="0" applyFont="1" applyFill="1" applyBorder="1" applyAlignment="1" applyProtection="1">
      <alignment horizontal="center" vertical="center" wrapText="1"/>
    </xf>
    <xf numFmtId="0" fontId="21" fillId="2" borderId="7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21" fillId="2" borderId="12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center" wrapText="1"/>
    </xf>
    <xf numFmtId="0" fontId="3" fillId="2" borderId="8" xfId="0" applyFont="1" applyFill="1" applyBorder="1" applyProtection="1"/>
    <xf numFmtId="0" fontId="3" fillId="2" borderId="11" xfId="0" applyFont="1" applyFill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7" fillId="0" borderId="15" xfId="0" quotePrefix="1" applyFont="1" applyFill="1" applyBorder="1" applyAlignment="1" applyProtection="1">
      <alignment horizontal="center"/>
    </xf>
    <xf numFmtId="0" fontId="17" fillId="0" borderId="17" xfId="0" quotePrefix="1" applyFont="1" applyFill="1" applyBorder="1" applyAlignment="1" applyProtection="1">
      <alignment horizontal="center"/>
    </xf>
    <xf numFmtId="0" fontId="16" fillId="0" borderId="15" xfId="0" applyFont="1" applyFill="1" applyBorder="1" applyAlignment="1" applyProtection="1">
      <alignment horizontal="left"/>
    </xf>
    <xf numFmtId="0" fontId="16" fillId="0" borderId="16" xfId="0" applyFont="1" applyFill="1" applyBorder="1" applyAlignment="1" applyProtection="1">
      <alignment horizontal="left"/>
    </xf>
    <xf numFmtId="0" fontId="16" fillId="0" borderId="17" xfId="0" applyFont="1" applyFill="1" applyBorder="1" applyAlignment="1" applyProtection="1">
      <alignment horizontal="left"/>
    </xf>
    <xf numFmtId="0" fontId="18" fillId="0" borderId="15" xfId="0" applyFont="1" applyFill="1" applyBorder="1" applyAlignment="1" applyProtection="1">
      <alignment horizontal="center"/>
    </xf>
    <xf numFmtId="0" fontId="18" fillId="0" borderId="17" xfId="0" applyFont="1" applyFill="1" applyBorder="1" applyAlignment="1" applyProtection="1">
      <alignment horizontal="center"/>
    </xf>
    <xf numFmtId="0" fontId="18" fillId="0" borderId="14" xfId="0" applyFont="1" applyFill="1" applyBorder="1" applyAlignment="1" applyProtection="1">
      <alignment horizontal="center"/>
    </xf>
    <xf numFmtId="0" fontId="16" fillId="0" borderId="14" xfId="0" applyFont="1" applyFill="1" applyBorder="1"/>
    <xf numFmtId="0" fontId="16" fillId="0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" fillId="2" borderId="9" xfId="0" applyFont="1" applyFill="1" applyBorder="1" applyAlignment="1" applyProtection="1"/>
    <xf numFmtId="0" fontId="22" fillId="3" borderId="15" xfId="0" applyFont="1" applyFill="1" applyBorder="1" applyAlignment="1" applyProtection="1">
      <alignment horizontal="center"/>
    </xf>
    <xf numFmtId="0" fontId="22" fillId="3" borderId="16" xfId="0" applyFont="1" applyFill="1" applyBorder="1" applyAlignment="1" applyProtection="1">
      <alignment horizontal="center"/>
    </xf>
    <xf numFmtId="0" fontId="22" fillId="3" borderId="17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4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68167045563703"/>
          <c:y val="4.4655387076474179E-2"/>
          <c:w val="0.82596918926707452"/>
          <c:h val="0.82329018610930227"/>
        </c:manualLayout>
      </c:layout>
      <c:scatterChart>
        <c:scatterStyle val="lineMarker"/>
        <c:varyColors val="0"/>
        <c:ser>
          <c:idx val="0"/>
          <c:order val="0"/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Data!$B$3:$B$9</c:f>
              <c:numCache>
                <c:formatCode>0.0</c:formatCode>
                <c:ptCount val="7"/>
                <c:pt idx="0">
                  <c:v>93.1</c:v>
                </c:pt>
                <c:pt idx="1">
                  <c:v>93.1</c:v>
                </c:pt>
                <c:pt idx="2" formatCode="0">
                  <c:v>94</c:v>
                </c:pt>
                <c:pt idx="3">
                  <c:v>95.46</c:v>
                </c:pt>
                <c:pt idx="4" formatCode="0.00">
                  <c:v>96.48</c:v>
                </c:pt>
                <c:pt idx="5">
                  <c:v>95.9</c:v>
                </c:pt>
                <c:pt idx="6">
                  <c:v>93.1</c:v>
                </c:pt>
              </c:numCache>
            </c:numRef>
          </c:xVal>
          <c:yVal>
            <c:numRef>
              <c:f>Data!$C$3:$C$9</c:f>
              <c:numCache>
                <c:formatCode>General</c:formatCode>
                <c:ptCount val="7"/>
                <c:pt idx="0">
                  <c:v>3005</c:v>
                </c:pt>
                <c:pt idx="1">
                  <c:v>3415</c:v>
                </c:pt>
                <c:pt idx="2">
                  <c:v>3752</c:v>
                </c:pt>
                <c:pt idx="3">
                  <c:v>3935</c:v>
                </c:pt>
                <c:pt idx="4">
                  <c:v>3935</c:v>
                </c:pt>
                <c:pt idx="5">
                  <c:v>3005</c:v>
                </c:pt>
                <c:pt idx="6">
                  <c:v>3005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BD-704A-855B-33EC7CE5A4F9}"/>
            </c:ext>
          </c:extLst>
        </c:ser>
        <c:ser>
          <c:idx val="1"/>
          <c:order val="1"/>
          <c:tx>
            <c:v>WB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8ED37CC8-5BBE-4488-87DA-D7F819B44C01}" type="CELLRANGE">
                      <a:rPr lang="en-US"/>
                      <a:pPr/>
                      <a:t>[CELLRANGE]</a:t>
                    </a:fld>
                    <a:endParaRPr lang="en-C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FDE-4945-A23D-1C0DBB34495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1F00430-62CF-4AE9-83BE-288F6EE989E6}" type="CELLRANGE">
                      <a:rPr lang="en-CA"/>
                      <a:pPr/>
                      <a:t>[CELLRANGE]</a:t>
                    </a:fld>
                    <a:endParaRPr lang="en-C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FDE-4945-A23D-1C0DBB34495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0081DE7-609B-43AC-9A70-23EC300FF7F7}" type="CELLRANGE">
                      <a:rPr lang="en-CA"/>
                      <a:pPr/>
                      <a:t>[CELLRANGE]</a:t>
                    </a:fld>
                    <a:endParaRPr lang="en-C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82B7-4AFD-BE92-2F874AFF2E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Data!$C$11:$C$13</c:f>
              <c:numCache>
                <c:formatCode>General</c:formatCode>
                <c:ptCount val="3"/>
                <c:pt idx="0">
                  <c:v>94.569964196204793</c:v>
                </c:pt>
                <c:pt idx="1">
                  <c:v>94.518512783579396</c:v>
                </c:pt>
                <c:pt idx="2">
                  <c:v>94.518512783579396</c:v>
                </c:pt>
              </c:numCache>
            </c:numRef>
          </c:xVal>
          <c:yVal>
            <c:numRef>
              <c:f>Data!$B$11:$B$13</c:f>
              <c:numCache>
                <c:formatCode>General</c:formatCode>
                <c:ptCount val="3"/>
                <c:pt idx="0">
                  <c:v>2793</c:v>
                </c:pt>
                <c:pt idx="1">
                  <c:v>2777</c:v>
                </c:pt>
                <c:pt idx="2">
                  <c:v>2777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Data!$B$24:$B$26</c15:f>
                <c15:dlblRangeCache>
                  <c:ptCount val="3"/>
                  <c:pt idx="0">
                    <c:v>ZFW</c:v>
                  </c:pt>
                  <c:pt idx="1">
                    <c:v>Landing</c:v>
                  </c:pt>
                  <c:pt idx="2">
                    <c:v>Takeoff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C2BD-704A-855B-33EC7CE5A4F9}"/>
            </c:ext>
          </c:extLst>
        </c:ser>
        <c:ser>
          <c:idx val="3"/>
          <c:order val="6"/>
          <c:tx>
            <c:v>Max Zero Fuel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Data!$B$36:$B$37</c:f>
              <c:numCache>
                <c:formatCode>General</c:formatCode>
                <c:ptCount val="2"/>
                <c:pt idx="0">
                  <c:v>93.7</c:v>
                </c:pt>
                <c:pt idx="1">
                  <c:v>96.3</c:v>
                </c:pt>
              </c:numCache>
            </c:numRef>
          </c:xVal>
          <c:yVal>
            <c:numRef>
              <c:f>Data!$C$36:$C$37</c:f>
              <c:numCache>
                <c:formatCode>General</c:formatCode>
                <c:ptCount val="2"/>
                <c:pt idx="0">
                  <c:v>3637</c:v>
                </c:pt>
                <c:pt idx="1">
                  <c:v>3637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BD-4372-B5D5-8F7BCD895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6516127"/>
        <c:axId val="1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2"/>
                <c:tx>
                  <c:v>Baggage</c:v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'DA42'!$P$29:$P$29</c15:sqref>
                        </c15:formulaRef>
                      </c:ext>
                    </c:extLst>
                    <c:numCache>
                      <c:formatCode>0.0</c:formatCode>
                      <c:ptCount val="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'DA42'!$O$29:$O$29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C2BD-704A-855B-33EC7CE5A4F9}"/>
                  </c:ext>
                </c:extLst>
              </c15:ser>
            </c15:filteredScatterSeries>
            <c15:filteredScatterSeries>
              <c15:ser>
                <c:idx val="5"/>
                <c:order val="3"/>
                <c:tx>
                  <c:v>Fuel</c:v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'C152 WB'!#REF!</c15:sqref>
                        </c15:formulaRef>
                      </c:ext>
                    </c:extLst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'C152 WB'!#REF!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2BD-704A-855B-33EC7CE5A4F9}"/>
                  </c:ext>
                </c:extLst>
              </c15:ser>
            </c15:filteredScatterSeries>
            <c15:filteredScatterSeries>
              <c15:ser>
                <c:idx val="7"/>
                <c:order val="4"/>
                <c:spPr>
                  <a:ln w="19050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'DA42'!$O$37:$O$42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'DA42'!$Q$37:$Q$42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2BD-704A-855B-33EC7CE5A4F9}"/>
                  </c:ext>
                </c:extLst>
              </c15:ser>
            </c15:filteredScatterSeries>
            <c15:filteredScatterSeries>
              <c15:ser>
                <c:idx val="2"/>
                <c:order val="5"/>
                <c:tx>
                  <c:v>Utility</c:v>
                </c:tx>
                <c:spPr>
                  <a:ln w="19050" cap="rnd">
                    <a:solidFill>
                      <a:schemeClr val="accent3"/>
                    </a:solidFill>
                    <a:prstDash val="dash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Data!#REF!</c15:sqref>
                        </c15:formulaRef>
                      </c:ext>
                    </c:extLst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8BC1-4166-A481-625274E1327E}"/>
                  </c:ext>
                </c:extLst>
              </c15:ser>
            </c15:filteredScatterSeries>
          </c:ext>
        </c:extLst>
      </c:scatterChart>
      <c:valAx>
        <c:axId val="1336516127"/>
        <c:scaling>
          <c:orientation val="minMax"/>
          <c:max val="96.649999999999991"/>
          <c:min val="92.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C.G. Location (Inches Aft Datum)</a:t>
                </a:r>
              </a:p>
            </c:rich>
          </c:tx>
          <c:layout>
            <c:manualLayout>
              <c:xMode val="edge"/>
              <c:yMode val="edge"/>
              <c:x val="0.37186154042175179"/>
              <c:y val="0.9377294102271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cross"/>
        <c:minorTickMark val="in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At val="1000"/>
        <c:crossBetween val="midCat"/>
        <c:minorUnit val="0.1"/>
      </c:valAx>
      <c:valAx>
        <c:axId val="1"/>
        <c:scaling>
          <c:orientation val="minMax"/>
          <c:max val="3965"/>
          <c:min val="29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Aircraft Weight (lbs)</a:t>
                </a:r>
              </a:p>
            </c:rich>
          </c:tx>
          <c:layout>
            <c:manualLayout>
              <c:xMode val="edge"/>
              <c:yMode val="edge"/>
              <c:x val="9.5732205180749895E-3"/>
              <c:y val="0.352696085612815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6516127"/>
        <c:crosses val="autoZero"/>
        <c:crossBetween val="midCat"/>
        <c:majorUnit val="100"/>
        <c:minorUnit val="20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 orientation="portrait" horizontalDpi="-4" verticalDpi="-4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43962</xdr:colOff>
      <xdr:row>5</xdr:row>
      <xdr:rowOff>86589</xdr:rowOff>
    </xdr:from>
    <xdr:to>
      <xdr:col>7</xdr:col>
      <xdr:colOff>1186960</xdr:colOff>
      <xdr:row>40</xdr:row>
      <xdr:rowOff>95250</xdr:rowOff>
    </xdr:to>
    <xdr:graphicFrame macro="">
      <xdr:nvGraphicFramePr>
        <xdr:cNvPr id="1116" name="Chart 3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74200</xdr:colOff>
      <xdr:row>6</xdr:row>
      <xdr:rowOff>79311</xdr:rowOff>
    </xdr:from>
    <xdr:ext cx="775722" cy="145617"/>
    <xdr:sp macro="" textlink="">
      <xdr:nvSpPr>
        <xdr:cNvPr id="1106" name="Text Box 8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4023412" y="1288253"/>
          <a:ext cx="775722" cy="145617"/>
        </a:xfrm>
        <a:prstGeom prst="rect">
          <a:avLst/>
        </a:prstGeom>
        <a:solidFill>
          <a:schemeClr val="bg1">
            <a:alpha val="0"/>
          </a:schemeClr>
        </a:solidFill>
        <a:ln w="9525">
          <a:noFill/>
          <a:miter lim="800000"/>
          <a:headEnd/>
          <a:tailEnd/>
        </a:ln>
      </xdr:spPr>
      <xdr:txBody>
        <a:bodyPr wrap="square" lIns="27432" tIns="27432" rIns="27432" bIns="0" anchor="t" upright="1">
          <a:spAutoFit/>
        </a:bodyPr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>
                  <a:alpha val="64000"/>
                </a:srgbClr>
              </a:solidFill>
              <a:latin typeface="Arial" panose="020B0604020202020204" pitchFamily="34" charset="0"/>
              <a:cs typeface="Arial" panose="020B0604020202020204" pitchFamily="34" charset="0"/>
            </a:rPr>
            <a:t>Max Take Off</a:t>
          </a:r>
        </a:p>
      </xdr:txBody>
    </xdr:sp>
    <xdr:clientData/>
  </xdr:oneCellAnchor>
  <xdr:twoCellAnchor>
    <xdr:from>
      <xdr:col>15</xdr:col>
      <xdr:colOff>61799</xdr:colOff>
      <xdr:row>2</xdr:row>
      <xdr:rowOff>59252</xdr:rowOff>
    </xdr:from>
    <xdr:to>
      <xdr:col>16</xdr:col>
      <xdr:colOff>1071339</xdr:colOff>
      <xdr:row>5</xdr:row>
      <xdr:rowOff>712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7813417" y="440252"/>
          <a:ext cx="1771540" cy="606478"/>
        </a:xfrm>
        <a:prstGeom prst="leftArrow">
          <a:avLst/>
        </a:prstGeom>
        <a:solidFill>
          <a:schemeClr val="accent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en-CA" sz="1100" b="1"/>
            <a:t>Step 1 </a:t>
          </a:r>
          <a:r>
            <a:rPr lang="en-CA" sz="1100"/>
            <a:t>- Pick Aircraft Ident</a:t>
          </a:r>
        </a:p>
      </xdr:txBody>
    </xdr:sp>
    <xdr:clientData/>
  </xdr:twoCellAnchor>
  <xdr:twoCellAnchor>
    <xdr:from>
      <xdr:col>15</xdr:col>
      <xdr:colOff>122786</xdr:colOff>
      <xdr:row>6</xdr:row>
      <xdr:rowOff>2474</xdr:rowOff>
    </xdr:from>
    <xdr:to>
      <xdr:col>16</xdr:col>
      <xdr:colOff>1149450</xdr:colOff>
      <xdr:row>8</xdr:row>
      <xdr:rowOff>156575</xdr:rowOff>
    </xdr:to>
    <xdr:sp macro="" textlink="">
      <xdr:nvSpPr>
        <xdr:cNvPr id="5" name="Arrow: Lef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7874404" y="1207819"/>
          <a:ext cx="1788664" cy="472756"/>
        </a:xfrm>
        <a:prstGeom prst="leftArrow">
          <a:avLst/>
        </a:prstGeom>
        <a:solidFill>
          <a:schemeClr val="accent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en-CA" sz="1100" b="1"/>
            <a:t>Step 2 </a:t>
          </a:r>
          <a:r>
            <a:rPr lang="en-CA" sz="1100"/>
            <a:t>- Enter</a:t>
          </a:r>
          <a:r>
            <a:rPr lang="en-CA" sz="1100" baseline="0"/>
            <a:t> Weight Data</a:t>
          </a:r>
          <a:endParaRPr lang="en-CA" sz="1100"/>
        </a:p>
      </xdr:txBody>
    </xdr:sp>
    <xdr:clientData/>
  </xdr:twoCellAnchor>
  <xdr:twoCellAnchor editAs="oneCell">
    <xdr:from>
      <xdr:col>3</xdr:col>
      <xdr:colOff>7748</xdr:colOff>
      <xdr:row>1</xdr:row>
      <xdr:rowOff>179823</xdr:rowOff>
    </xdr:from>
    <xdr:to>
      <xdr:col>7</xdr:col>
      <xdr:colOff>209717</xdr:colOff>
      <xdr:row>5</xdr:row>
      <xdr:rowOff>37968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344" y="341015"/>
          <a:ext cx="2927585" cy="744703"/>
        </a:xfrm>
        <a:prstGeom prst="rect">
          <a:avLst/>
        </a:prstGeom>
      </xdr:spPr>
    </xdr:pic>
    <xdr:clientData/>
  </xdr:twoCellAnchor>
  <xdr:twoCellAnchor>
    <xdr:from>
      <xdr:col>15</xdr:col>
      <xdr:colOff>158371</xdr:colOff>
      <xdr:row>20</xdr:row>
      <xdr:rowOff>19110</xdr:rowOff>
    </xdr:from>
    <xdr:to>
      <xdr:col>16</xdr:col>
      <xdr:colOff>983434</xdr:colOff>
      <xdr:row>26</xdr:row>
      <xdr:rowOff>13884</xdr:rowOff>
    </xdr:to>
    <xdr:sp macro="" textlink="">
      <xdr:nvSpPr>
        <xdr:cNvPr id="8" name="Arrow: Lef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7909989" y="2977055"/>
          <a:ext cx="1587063" cy="472756"/>
        </a:xfrm>
        <a:prstGeom prst="leftArrow">
          <a:avLst/>
        </a:prstGeom>
        <a:solidFill>
          <a:schemeClr val="accent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en-CA" sz="1100" b="1"/>
            <a:t>Step 3 </a:t>
          </a:r>
          <a:r>
            <a:rPr lang="en-CA" sz="1100"/>
            <a:t>- Check</a:t>
          </a:r>
          <a:r>
            <a:rPr lang="en-CA" sz="1100" baseline="0"/>
            <a:t> for Errors</a:t>
          </a:r>
          <a:endParaRPr lang="en-CA" sz="1100"/>
        </a:p>
      </xdr:txBody>
    </xdr:sp>
    <xdr:clientData/>
  </xdr:twoCellAnchor>
  <xdr:twoCellAnchor>
    <xdr:from>
      <xdr:col>15</xdr:col>
      <xdr:colOff>108864</xdr:colOff>
      <xdr:row>49</xdr:row>
      <xdr:rowOff>116569</xdr:rowOff>
    </xdr:from>
    <xdr:to>
      <xdr:col>17</xdr:col>
      <xdr:colOff>115171</xdr:colOff>
      <xdr:row>52</xdr:row>
      <xdr:rowOff>104057</xdr:rowOff>
    </xdr:to>
    <xdr:sp macro="" textlink="">
      <xdr:nvSpPr>
        <xdr:cNvPr id="9" name="Arrow: Lef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8518573" y="6344187"/>
          <a:ext cx="1828180" cy="403125"/>
        </a:xfrm>
        <a:prstGeom prst="leftArrow">
          <a:avLst/>
        </a:prstGeom>
        <a:solidFill>
          <a:schemeClr val="accent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en-CA" sz="1100" b="1"/>
            <a:t>Step 4 </a:t>
          </a:r>
          <a:r>
            <a:rPr lang="en-CA" sz="1100"/>
            <a:t>- Print and</a:t>
          </a:r>
          <a:r>
            <a:rPr lang="en-CA" sz="1100" baseline="0"/>
            <a:t> Sign</a:t>
          </a:r>
          <a:endParaRPr lang="en-CA" sz="1100"/>
        </a:p>
      </xdr:txBody>
    </xdr:sp>
    <xdr:clientData/>
  </xdr:twoCellAnchor>
  <xdr:twoCellAnchor editAs="oneCell">
    <xdr:from>
      <xdr:col>3</xdr:col>
      <xdr:colOff>32636</xdr:colOff>
      <xdr:row>83</xdr:row>
      <xdr:rowOff>13990</xdr:rowOff>
    </xdr:from>
    <xdr:to>
      <xdr:col>15</xdr:col>
      <xdr:colOff>718405</xdr:colOff>
      <xdr:row>125</xdr:row>
      <xdr:rowOff>139211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4282F7-9412-4220-86A5-5C5F95C15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6232" y="12220644"/>
          <a:ext cx="8825981" cy="6895298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0.73772</cdr:x>
      <cdr:y>0.27978</cdr:y>
    </cdr:from>
    <cdr:to>
      <cdr:x>0.88116</cdr:x>
      <cdr:y>0.31162</cdr:y>
    </cdr:to>
    <cdr:sp macro="" textlink="">
      <cdr:nvSpPr>
        <cdr:cNvPr id="2" name="Text Box 82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52040000}"/>
            </a:ext>
          </a:extLst>
        </cdr:cNvPr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3686333" y="1279509"/>
          <a:ext cx="716799" cy="14561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alpha val="0"/>
          </a:scheme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27432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>
                  <a:alpha val="56000"/>
                </a:srgbClr>
              </a:solidFill>
              <a:latin typeface="Arial" panose="020B0604020202020204" pitchFamily="34" charset="0"/>
              <a:cs typeface="Arial" panose="020B0604020202020204" pitchFamily="34" charset="0"/>
            </a:rPr>
            <a:t>Max Zero Fuel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92"/>
  <sheetViews>
    <sheetView tabSelected="1" showOutlineSymbols="0" zoomScale="130" zoomScaleNormal="130" workbookViewId="0">
      <selection activeCell="J4" sqref="J4:N4"/>
    </sheetView>
  </sheetViews>
  <sheetFormatPr defaultColWidth="9.1796875" defaultRowHeight="12.75" customHeight="1" x14ac:dyDescent="0.2"/>
  <cols>
    <col min="1" max="1" width="1.453125" style="1" customWidth="1"/>
    <col min="2" max="2" width="6.1796875" style="1" customWidth="1"/>
    <col min="3" max="3" width="10.7265625" style="1" customWidth="1"/>
    <col min="4" max="4" width="4.81640625" style="1" customWidth="1"/>
    <col min="5" max="5" width="19" style="1" customWidth="1"/>
    <col min="6" max="6" width="6.26953125" style="1" customWidth="1"/>
    <col min="7" max="7" width="10.7265625" style="1" customWidth="1"/>
    <col min="8" max="8" width="19" style="1" customWidth="1"/>
    <col min="9" max="9" width="25.26953125" style="1" customWidth="1"/>
    <col min="10" max="10" width="2.1796875" style="1" customWidth="1"/>
    <col min="11" max="11" width="5.81640625" style="1" customWidth="1"/>
    <col min="12" max="12" width="6.1796875" style="1" customWidth="1"/>
    <col min="13" max="13" width="7.7265625" style="1" customWidth="1"/>
    <col min="14" max="14" width="11.7265625" style="1" customWidth="1"/>
    <col min="15" max="15" width="3.26953125" style="1" customWidth="1"/>
    <col min="16" max="16" width="11.1796875" style="1" customWidth="1"/>
    <col min="17" max="17" width="15.453125" style="1" customWidth="1"/>
    <col min="18" max="18" width="2" style="1" customWidth="1"/>
    <col min="19" max="19" width="0.7265625" style="1" customWidth="1"/>
    <col min="20" max="20" width="10.81640625" style="1" customWidth="1"/>
    <col min="21" max="21" width="2.81640625" style="1" customWidth="1"/>
    <col min="22" max="23" width="9.1796875" style="1"/>
    <col min="24" max="24" width="26.1796875" style="1" customWidth="1"/>
    <col min="25" max="16384" width="9.1796875" style="1"/>
  </cols>
  <sheetData>
    <row r="1" spans="1:27" ht="12.75" customHeight="1" thickBot="1" x14ac:dyDescent="0.25">
      <c r="A1" s="12"/>
      <c r="B1" s="75"/>
      <c r="C1" s="91"/>
      <c r="D1" s="91"/>
      <c r="E1" s="91"/>
      <c r="F1" s="91"/>
      <c r="G1" s="91"/>
      <c r="H1" s="43"/>
      <c r="I1" s="44" t="s">
        <v>44</v>
      </c>
      <c r="J1" s="163">
        <f ca="1">NOW() + SUM(J8:K19)*0</f>
        <v>44137.587984722224</v>
      </c>
      <c r="K1" s="163"/>
      <c r="L1" s="163"/>
      <c r="M1" s="163"/>
      <c r="N1" s="44" t="s">
        <v>74</v>
      </c>
    </row>
    <row r="2" spans="1:27" ht="17.5" customHeight="1" x14ac:dyDescent="0.3">
      <c r="A2" s="12"/>
      <c r="B2" s="7"/>
      <c r="C2" s="14"/>
      <c r="D2" s="14"/>
      <c r="E2" s="14"/>
      <c r="F2" s="14"/>
      <c r="G2" s="14"/>
      <c r="H2" s="14"/>
      <c r="I2" s="185" t="s">
        <v>9</v>
      </c>
      <c r="J2" s="185"/>
      <c r="K2" s="185"/>
      <c r="L2" s="185"/>
      <c r="M2" s="185"/>
      <c r="N2" s="185"/>
      <c r="O2" s="34"/>
      <c r="P2" s="33"/>
      <c r="Q2" s="33"/>
      <c r="R2" s="33"/>
      <c r="S2" s="34"/>
      <c r="T2" s="5"/>
    </row>
    <row r="3" spans="1:27" ht="15.75" customHeight="1" thickBot="1" x14ac:dyDescent="0.35">
      <c r="A3" s="12"/>
      <c r="B3" s="8"/>
      <c r="C3" s="14"/>
      <c r="D3" s="14"/>
      <c r="E3" s="14"/>
      <c r="F3" s="14"/>
      <c r="G3" s="14"/>
      <c r="H3" s="14"/>
      <c r="I3" s="186"/>
      <c r="J3" s="186"/>
      <c r="K3" s="186"/>
      <c r="L3" s="186"/>
      <c r="M3" s="186"/>
      <c r="N3" s="186"/>
      <c r="O3" s="36"/>
      <c r="P3" s="35"/>
      <c r="Q3" s="35"/>
      <c r="R3" s="35"/>
      <c r="S3" s="36"/>
      <c r="T3" s="5"/>
    </row>
    <row r="4" spans="1:27" ht="24" customHeight="1" thickBot="1" x14ac:dyDescent="0.35">
      <c r="A4" s="12"/>
      <c r="B4" s="8"/>
      <c r="C4" s="14"/>
      <c r="D4" s="14"/>
      <c r="E4" s="14"/>
      <c r="F4" s="14"/>
      <c r="G4" s="14"/>
      <c r="H4" s="14"/>
      <c r="I4" s="112" t="s">
        <v>49</v>
      </c>
      <c r="J4" s="166" t="s">
        <v>61</v>
      </c>
      <c r="K4" s="167"/>
      <c r="L4" s="167"/>
      <c r="M4" s="167"/>
      <c r="N4" s="168"/>
      <c r="O4" s="36"/>
      <c r="P4" s="12"/>
      <c r="Q4" s="12"/>
      <c r="R4" s="12"/>
      <c r="S4" s="36"/>
      <c r="T4" s="5"/>
    </row>
    <row r="5" spans="1:27" ht="12.75" customHeight="1" x14ac:dyDescent="0.2">
      <c r="A5" s="12"/>
      <c r="B5" s="8"/>
      <c r="C5" s="14"/>
      <c r="D5" s="14"/>
      <c r="E5" s="14"/>
      <c r="F5" s="14"/>
      <c r="G5" s="14"/>
      <c r="H5" s="14"/>
      <c r="I5" s="13"/>
      <c r="J5" s="13"/>
      <c r="K5" s="13"/>
      <c r="L5" s="14"/>
      <c r="M5" s="13"/>
      <c r="N5" s="15"/>
      <c r="O5" s="36"/>
      <c r="P5" s="14"/>
      <c r="Q5" s="14"/>
      <c r="R5" s="14"/>
      <c r="S5" s="36"/>
      <c r="T5" s="3"/>
    </row>
    <row r="6" spans="1:27" ht="12.75" customHeight="1" x14ac:dyDescent="0.25">
      <c r="A6" s="12"/>
      <c r="B6" s="8"/>
      <c r="C6" s="14"/>
      <c r="D6" s="14"/>
      <c r="E6" s="14"/>
      <c r="F6" s="14"/>
      <c r="G6" s="14"/>
      <c r="H6" s="14"/>
      <c r="I6" s="16"/>
      <c r="J6" s="164" t="s">
        <v>0</v>
      </c>
      <c r="K6" s="165"/>
      <c r="L6" s="17" t="s">
        <v>1</v>
      </c>
      <c r="M6" s="17" t="s">
        <v>2</v>
      </c>
      <c r="N6" s="17" t="s">
        <v>3</v>
      </c>
      <c r="O6" s="36"/>
      <c r="P6" s="12"/>
      <c r="Q6" s="12"/>
      <c r="R6" s="14"/>
      <c r="S6" s="36"/>
      <c r="T6" s="3"/>
    </row>
    <row r="7" spans="1:27" ht="12.75" customHeight="1" x14ac:dyDescent="0.25">
      <c r="A7" s="12"/>
      <c r="B7" s="8"/>
      <c r="C7" s="14"/>
      <c r="D7" s="14"/>
      <c r="E7" s="14"/>
      <c r="F7" s="14"/>
      <c r="G7" s="14"/>
      <c r="H7" s="14"/>
      <c r="I7" s="76" t="s">
        <v>4</v>
      </c>
      <c r="J7" s="146"/>
      <c r="K7" s="147"/>
      <c r="L7" s="80">
        <f>VLOOKUP(J4,Data!F3:J4,2,FALSE)</f>
        <v>2793</v>
      </c>
      <c r="M7" s="81">
        <f>VLOOKUP(J4,Data!F3:J4,4,FALSE)</f>
        <v>94.56</v>
      </c>
      <c r="N7" s="108">
        <f>VLOOKUP(J4,Data!F3:N3,9,FALSE)</f>
        <v>264133.90999999997</v>
      </c>
      <c r="O7" s="36"/>
      <c r="P7" s="12"/>
      <c r="Q7" s="12"/>
      <c r="R7" s="14"/>
      <c r="S7" s="36"/>
      <c r="T7" s="3"/>
      <c r="Y7" s="56"/>
      <c r="Z7" s="56"/>
      <c r="AA7" s="2"/>
    </row>
    <row r="8" spans="1:27" ht="12.75" customHeight="1" x14ac:dyDescent="0.3">
      <c r="A8" s="12"/>
      <c r="B8" s="8"/>
      <c r="C8" s="14"/>
      <c r="D8" s="14"/>
      <c r="E8" s="14"/>
      <c r="F8" s="14"/>
      <c r="G8" s="14"/>
      <c r="H8" s="14"/>
      <c r="I8" s="77" t="s">
        <v>50</v>
      </c>
      <c r="J8" s="148">
        <v>0</v>
      </c>
      <c r="K8" s="149"/>
      <c r="L8" s="85">
        <f>J8</f>
        <v>0</v>
      </c>
      <c r="M8" s="117">
        <v>90.6</v>
      </c>
      <c r="N8" s="82">
        <f t="shared" ref="N8:N17" si="0">L8*M8</f>
        <v>0</v>
      </c>
      <c r="O8" s="36"/>
      <c r="P8" s="12"/>
      <c r="Q8" s="12"/>
      <c r="R8" s="14"/>
      <c r="S8" s="36"/>
      <c r="T8" s="4"/>
      <c r="Y8" s="57"/>
      <c r="Z8" s="58"/>
      <c r="AA8" s="2"/>
    </row>
    <row r="9" spans="1:27" ht="12.75" customHeight="1" x14ac:dyDescent="0.3">
      <c r="A9" s="12"/>
      <c r="B9" s="8"/>
      <c r="C9" s="14"/>
      <c r="D9" s="14"/>
      <c r="E9" s="14"/>
      <c r="F9" s="14"/>
      <c r="G9" s="14"/>
      <c r="H9" s="14"/>
      <c r="I9" s="77" t="s">
        <v>35</v>
      </c>
      <c r="J9" s="150">
        <v>0</v>
      </c>
      <c r="K9" s="151"/>
      <c r="L9" s="85">
        <f>J9</f>
        <v>0</v>
      </c>
      <c r="M9" s="117">
        <v>128</v>
      </c>
      <c r="N9" s="82">
        <f t="shared" si="0"/>
        <v>0</v>
      </c>
      <c r="O9" s="36"/>
      <c r="P9" s="12"/>
      <c r="Q9" s="12"/>
      <c r="R9" s="14"/>
      <c r="S9" s="36"/>
      <c r="T9" s="4"/>
      <c r="Y9" s="57"/>
      <c r="Z9" s="58"/>
      <c r="AA9" s="2"/>
    </row>
    <row r="10" spans="1:27" ht="12.75" customHeight="1" x14ac:dyDescent="0.3">
      <c r="A10" s="12"/>
      <c r="B10" s="8"/>
      <c r="C10" s="14"/>
      <c r="D10" s="14"/>
      <c r="E10" s="14"/>
      <c r="F10" s="14"/>
      <c r="G10" s="14"/>
      <c r="H10" s="14"/>
      <c r="I10" s="77" t="s">
        <v>51</v>
      </c>
      <c r="J10" s="150">
        <v>0</v>
      </c>
      <c r="K10" s="151"/>
      <c r="L10" s="85">
        <f>J10</f>
        <v>0</v>
      </c>
      <c r="M10" s="117">
        <v>23.6</v>
      </c>
      <c r="N10" s="82">
        <f>L10*M10</f>
        <v>0</v>
      </c>
      <c r="O10" s="36"/>
      <c r="P10" s="12"/>
      <c r="Q10" s="12"/>
      <c r="R10" s="14"/>
      <c r="S10" s="36"/>
      <c r="T10" s="4"/>
      <c r="Y10" s="57"/>
      <c r="Z10" s="58"/>
      <c r="AA10" s="2"/>
    </row>
    <row r="11" spans="1:27" ht="12.75" customHeight="1" x14ac:dyDescent="0.3">
      <c r="A11" s="12"/>
      <c r="B11" s="8"/>
      <c r="C11" s="14"/>
      <c r="D11" s="14"/>
      <c r="E11" s="14"/>
      <c r="F11" s="14"/>
      <c r="G11" s="14"/>
      <c r="H11" s="14"/>
      <c r="I11" s="77" t="s">
        <v>52</v>
      </c>
      <c r="J11" s="150">
        <v>0</v>
      </c>
      <c r="K11" s="151"/>
      <c r="L11" s="85">
        <f>J11</f>
        <v>0</v>
      </c>
      <c r="M11" s="117">
        <v>153.1</v>
      </c>
      <c r="N11" s="82">
        <f t="shared" si="0"/>
        <v>0</v>
      </c>
      <c r="O11" s="36"/>
      <c r="P11" s="12"/>
      <c r="Q11" s="12"/>
      <c r="R11" s="14"/>
      <c r="S11" s="36"/>
      <c r="T11" s="4"/>
      <c r="Y11" s="59"/>
      <c r="Z11" s="58"/>
      <c r="AA11" s="2"/>
    </row>
    <row r="12" spans="1:27" ht="12.75" customHeight="1" x14ac:dyDescent="0.3">
      <c r="A12" s="12"/>
      <c r="B12" s="8"/>
      <c r="C12" s="14"/>
      <c r="D12" s="14"/>
      <c r="E12" s="14"/>
      <c r="F12" s="14"/>
      <c r="G12" s="14"/>
      <c r="H12" s="14"/>
      <c r="I12" s="77" t="s">
        <v>53</v>
      </c>
      <c r="J12" s="150">
        <v>0</v>
      </c>
      <c r="K12" s="151"/>
      <c r="L12" s="85">
        <f>J12</f>
        <v>0</v>
      </c>
      <c r="M12" s="117">
        <v>178.7</v>
      </c>
      <c r="N12" s="82">
        <f>L12*M12</f>
        <v>0</v>
      </c>
      <c r="O12" s="36"/>
      <c r="P12" s="37"/>
      <c r="Q12" s="38"/>
      <c r="R12" s="37"/>
      <c r="S12" s="36"/>
      <c r="T12" s="4"/>
      <c r="Y12" s="59"/>
      <c r="Z12" s="58"/>
      <c r="AA12" s="2"/>
    </row>
    <row r="13" spans="1:27" ht="12.75" customHeight="1" x14ac:dyDescent="0.3">
      <c r="A13" s="12"/>
      <c r="B13" s="8"/>
      <c r="C13" s="14"/>
      <c r="D13" s="14"/>
      <c r="E13" s="14"/>
      <c r="F13" s="14"/>
      <c r="G13" s="14"/>
      <c r="H13" s="14"/>
      <c r="I13" s="78" t="s">
        <v>54</v>
      </c>
      <c r="J13" s="152"/>
      <c r="K13" s="153"/>
      <c r="L13" s="87">
        <f>SUM(L7:L12)</f>
        <v>2793</v>
      </c>
      <c r="M13" s="118">
        <f>N13/L13</f>
        <v>94.569964196204793</v>
      </c>
      <c r="N13" s="83">
        <f>SUM(N7:N12)</f>
        <v>264133.90999999997</v>
      </c>
      <c r="O13" s="36"/>
      <c r="P13" s="37"/>
      <c r="Q13" s="38"/>
      <c r="R13" s="37"/>
      <c r="S13" s="36"/>
      <c r="T13" s="4"/>
    </row>
    <row r="14" spans="1:27" ht="12.75" customHeight="1" x14ac:dyDescent="0.3">
      <c r="A14" s="12"/>
      <c r="B14" s="8"/>
      <c r="C14" s="109"/>
      <c r="D14" s="109"/>
      <c r="E14" s="109"/>
      <c r="F14" s="109"/>
      <c r="G14" s="109"/>
      <c r="H14" s="109"/>
      <c r="I14" s="77" t="s">
        <v>55</v>
      </c>
      <c r="J14" s="150">
        <v>0</v>
      </c>
      <c r="K14" s="151"/>
      <c r="L14" s="85">
        <f>J14*6</f>
        <v>0</v>
      </c>
      <c r="M14" s="117">
        <f>VLOOKUP(J4,Data!F3:N3,5,FALSE)</f>
        <v>103.5</v>
      </c>
      <c r="N14" s="82">
        <f t="shared" si="0"/>
        <v>0</v>
      </c>
      <c r="O14" s="36"/>
      <c r="P14" s="37"/>
      <c r="Q14" s="38"/>
      <c r="R14" s="37"/>
      <c r="S14" s="36"/>
      <c r="T14" s="4"/>
    </row>
    <row r="15" spans="1:27" ht="12.75" customHeight="1" x14ac:dyDescent="0.3">
      <c r="A15" s="12"/>
      <c r="B15" s="8"/>
      <c r="C15" s="14"/>
      <c r="D15" s="14"/>
      <c r="E15" s="14"/>
      <c r="F15" s="14"/>
      <c r="G15" s="14"/>
      <c r="H15" s="14"/>
      <c r="I15" s="77" t="s">
        <v>56</v>
      </c>
      <c r="J15" s="150">
        <v>0</v>
      </c>
      <c r="K15" s="151"/>
      <c r="L15" s="85">
        <f>J15*6</f>
        <v>0</v>
      </c>
      <c r="M15" s="117">
        <f>VLOOKUP(J4,Data!F3:N3,6,FALSE)</f>
        <v>126</v>
      </c>
      <c r="N15" s="82">
        <f>L15*M15</f>
        <v>0</v>
      </c>
      <c r="O15" s="36"/>
      <c r="P15" s="37"/>
      <c r="Q15" s="38"/>
      <c r="R15" s="37"/>
      <c r="S15" s="36"/>
      <c r="T15" s="4"/>
    </row>
    <row r="16" spans="1:27" ht="12.75" customHeight="1" x14ac:dyDescent="0.3">
      <c r="A16" s="12"/>
      <c r="B16" s="8"/>
      <c r="C16" s="109"/>
      <c r="D16" s="109"/>
      <c r="E16" s="109"/>
      <c r="F16" s="109"/>
      <c r="G16" s="109"/>
      <c r="H16" s="109"/>
      <c r="I16" s="78" t="str">
        <f>"RAMP Weight (3957 lbs MAX)"</f>
        <v>RAMP Weight (3957 lbs MAX)</v>
      </c>
      <c r="J16" s="154"/>
      <c r="K16" s="155"/>
      <c r="L16" s="88">
        <f>SUM(L13:L15)</f>
        <v>2793</v>
      </c>
      <c r="M16" s="119">
        <f>N16/L16</f>
        <v>94.569964196204793</v>
      </c>
      <c r="N16" s="82">
        <f>SUM(N13:N15)</f>
        <v>264133.90999999997</v>
      </c>
      <c r="O16" s="36"/>
      <c r="P16" s="37"/>
      <c r="Q16" s="38"/>
      <c r="R16" s="37"/>
      <c r="S16" s="36"/>
      <c r="T16" s="4"/>
    </row>
    <row r="17" spans="1:20" ht="12.75" customHeight="1" x14ac:dyDescent="0.2">
      <c r="A17" s="12"/>
      <c r="B17" s="8"/>
      <c r="C17" s="14"/>
      <c r="D17" s="14"/>
      <c r="E17" s="14"/>
      <c r="F17" s="14"/>
      <c r="G17" s="14"/>
      <c r="H17" s="14"/>
      <c r="I17" s="77" t="s">
        <v>6</v>
      </c>
      <c r="J17" s="154" t="s">
        <v>7</v>
      </c>
      <c r="K17" s="155"/>
      <c r="L17" s="85">
        <v>-16</v>
      </c>
      <c r="M17" s="117">
        <f>VLOOKUP(J4,Data!F3:J4,5,FALSE)</f>
        <v>103.5</v>
      </c>
      <c r="N17" s="82">
        <f t="shared" si="0"/>
        <v>-1656</v>
      </c>
      <c r="O17" s="36"/>
      <c r="P17" s="37"/>
      <c r="Q17" s="38"/>
      <c r="R17" s="37"/>
      <c r="S17" s="36"/>
      <c r="T17" s="3"/>
    </row>
    <row r="18" spans="1:20" ht="12.75" customHeight="1" x14ac:dyDescent="0.25">
      <c r="A18" s="12"/>
      <c r="B18" s="8"/>
      <c r="C18" s="14"/>
      <c r="D18" s="14"/>
      <c r="E18" s="14"/>
      <c r="F18" s="14"/>
      <c r="G18" s="14"/>
      <c r="H18" s="14"/>
      <c r="I18" s="78" t="str">
        <f>"Take off Weight (3935 lbs MAX)"</f>
        <v>Take off Weight (3935 lbs MAX)</v>
      </c>
      <c r="J18" s="152"/>
      <c r="K18" s="153"/>
      <c r="L18" s="87">
        <f>SUM(L16:L17)</f>
        <v>2777</v>
      </c>
      <c r="M18" s="118">
        <f>N18/L18</f>
        <v>94.518512783579396</v>
      </c>
      <c r="N18" s="83">
        <f>SUM(N16:N17)</f>
        <v>262477.90999999997</v>
      </c>
      <c r="O18" s="36"/>
      <c r="P18" s="37"/>
      <c r="Q18" s="38"/>
      <c r="R18" s="37"/>
      <c r="S18" s="36"/>
      <c r="T18" s="3"/>
    </row>
    <row r="19" spans="1:20" ht="12.75" customHeight="1" x14ac:dyDescent="0.2">
      <c r="A19" s="12"/>
      <c r="B19" s="8"/>
      <c r="C19" s="14"/>
      <c r="D19" s="14"/>
      <c r="E19" s="14"/>
      <c r="F19" s="14"/>
      <c r="G19" s="14"/>
      <c r="H19" s="14"/>
      <c r="I19" s="77" t="s">
        <v>57</v>
      </c>
      <c r="J19" s="150">
        <v>0</v>
      </c>
      <c r="K19" s="151"/>
      <c r="L19" s="86">
        <f>-J19*6</f>
        <v>0</v>
      </c>
      <c r="M19" s="117">
        <f>VLOOKUP(J4,Data!F3:J4,5,FALSE)</f>
        <v>103.5</v>
      </c>
      <c r="N19" s="82">
        <f>M19*L19</f>
        <v>0</v>
      </c>
      <c r="O19" s="36"/>
      <c r="P19" s="37"/>
      <c r="Q19" s="38"/>
      <c r="R19" s="37"/>
      <c r="S19" s="36"/>
      <c r="T19" s="3"/>
    </row>
    <row r="20" spans="1:20" ht="12.75" customHeight="1" x14ac:dyDescent="0.25">
      <c r="A20" s="12"/>
      <c r="B20" s="8"/>
      <c r="C20" s="14"/>
      <c r="D20" s="14"/>
      <c r="E20" s="14"/>
      <c r="F20" s="14"/>
      <c r="G20" s="14"/>
      <c r="H20" s="14"/>
      <c r="I20" s="79" t="s">
        <v>58</v>
      </c>
      <c r="J20" s="177"/>
      <c r="K20" s="178"/>
      <c r="L20" s="88">
        <f>SUM(L18:L19)</f>
        <v>2777</v>
      </c>
      <c r="M20" s="119">
        <f>N20/L20</f>
        <v>94.518512783579396</v>
      </c>
      <c r="N20" s="84">
        <f>SUM(N18:N19)</f>
        <v>262477.90999999997</v>
      </c>
      <c r="O20" s="36"/>
      <c r="P20" s="37"/>
      <c r="Q20" s="38"/>
      <c r="R20" s="37"/>
      <c r="S20" s="36"/>
      <c r="T20" s="3"/>
    </row>
    <row r="21" spans="1:20" ht="12.75" customHeight="1" x14ac:dyDescent="0.2">
      <c r="A21" s="12"/>
      <c r="B21" s="8"/>
      <c r="C21" s="14"/>
      <c r="D21" s="14"/>
      <c r="E21" s="14"/>
      <c r="F21" s="14"/>
      <c r="G21" s="14"/>
      <c r="H21" s="14"/>
      <c r="I21" s="18" t="str">
        <f>IF(L18&gt;Data!B16, "Overweight by:", "Underweight by:")</f>
        <v>Underweight by:</v>
      </c>
      <c r="J21" s="219"/>
      <c r="K21" s="19">
        <f>Data!B16-L18</f>
        <v>1158</v>
      </c>
      <c r="L21" s="14"/>
      <c r="M21" s="14"/>
      <c r="N21" s="120"/>
      <c r="O21" s="36"/>
      <c r="P21" s="37"/>
      <c r="Q21" s="38"/>
      <c r="R21" s="37"/>
      <c r="S21" s="36"/>
      <c r="T21" s="3"/>
    </row>
    <row r="22" spans="1:20" ht="12.75" customHeight="1" x14ac:dyDescent="0.3">
      <c r="A22" s="12"/>
      <c r="B22" s="8"/>
      <c r="C22" s="121"/>
      <c r="D22" s="121"/>
      <c r="E22" s="121"/>
      <c r="F22" s="121"/>
      <c r="G22" s="121"/>
      <c r="H22" s="121"/>
      <c r="I22" s="220" t="s">
        <v>69</v>
      </c>
      <c r="J22" s="221"/>
      <c r="K22" s="221"/>
      <c r="L22" s="221"/>
      <c r="M22" s="221"/>
      <c r="N22" s="222"/>
      <c r="O22" s="36"/>
      <c r="P22" s="37"/>
      <c r="Q22" s="38"/>
      <c r="R22" s="37"/>
      <c r="S22" s="36"/>
      <c r="T22" s="3"/>
    </row>
    <row r="23" spans="1:20" ht="12.75" customHeight="1" x14ac:dyDescent="0.2">
      <c r="A23" s="12"/>
      <c r="B23" s="8"/>
      <c r="C23" s="121"/>
      <c r="D23" s="121"/>
      <c r="E23" s="121"/>
      <c r="F23" s="121"/>
      <c r="G23" s="121"/>
      <c r="H23" s="121"/>
      <c r="I23" s="223" t="s">
        <v>70</v>
      </c>
      <c r="J23" s="224" t="s">
        <v>72</v>
      </c>
      <c r="K23" s="224"/>
      <c r="L23" s="224"/>
      <c r="M23" s="224"/>
      <c r="N23" s="224"/>
      <c r="O23" s="36"/>
      <c r="P23" s="37"/>
      <c r="Q23" s="38"/>
      <c r="R23" s="37"/>
      <c r="S23" s="36"/>
      <c r="T23" s="3"/>
    </row>
    <row r="24" spans="1:20" ht="12.75" customHeight="1" x14ac:dyDescent="0.2">
      <c r="A24" s="12"/>
      <c r="B24" s="8"/>
      <c r="C24" s="121"/>
      <c r="D24" s="121"/>
      <c r="E24" s="121"/>
      <c r="F24" s="121"/>
      <c r="G24" s="121"/>
      <c r="H24" s="121"/>
      <c r="I24" s="223" t="s">
        <v>71</v>
      </c>
      <c r="J24" s="224" t="s">
        <v>73</v>
      </c>
      <c r="K24" s="224"/>
      <c r="L24" s="224"/>
      <c r="M24" s="224"/>
      <c r="N24" s="224"/>
      <c r="O24" s="36"/>
      <c r="P24" s="37"/>
      <c r="Q24" s="38"/>
      <c r="R24" s="37"/>
      <c r="S24" s="36"/>
      <c r="T24" s="3"/>
    </row>
    <row r="25" spans="1:20" ht="12.75" customHeight="1" x14ac:dyDescent="0.25">
      <c r="A25" s="12"/>
      <c r="B25" s="8"/>
      <c r="C25" s="14"/>
      <c r="D25" s="14"/>
      <c r="E25" s="14"/>
      <c r="F25" s="14"/>
      <c r="G25" s="14"/>
      <c r="H25" s="14"/>
      <c r="I25" s="174" t="s">
        <v>21</v>
      </c>
      <c r="J25" s="175"/>
      <c r="K25" s="175"/>
      <c r="L25" s="175"/>
      <c r="M25" s="175"/>
      <c r="N25" s="176"/>
      <c r="O25" s="36"/>
      <c r="P25" s="39"/>
      <c r="Q25" s="39"/>
      <c r="R25" s="37"/>
      <c r="S25" s="36"/>
      <c r="T25" s="3"/>
    </row>
    <row r="26" spans="1:20" ht="12.75" customHeight="1" x14ac:dyDescent="0.25">
      <c r="A26" s="12"/>
      <c r="B26" s="8"/>
      <c r="C26" s="14"/>
      <c r="D26" s="14"/>
      <c r="E26" s="14"/>
      <c r="F26" s="14"/>
      <c r="G26" s="14"/>
      <c r="H26" s="14"/>
      <c r="I26" s="20" t="str">
        <f>IF(L13&gt;Data!B16,"Warning: Maximum Zero Fuel Weight Exceeded for This Aircraft",IF(L16&gt;3957,"Warning: Max RAMP Weight Exceeded for This Aircraft",IF(L18&gt;3953,"Warning: Maximum Takeoff Weight Exceeded for This Aircraft",IF(L20&gt;3748,"Warning: Maximum Landing Weight Exceeded for This Aircraft",""))))</f>
        <v/>
      </c>
      <c r="J26" s="49"/>
      <c r="K26" s="14"/>
      <c r="L26" s="14"/>
      <c r="M26" s="14"/>
      <c r="N26" s="21"/>
      <c r="O26" s="36"/>
      <c r="P26" s="39"/>
      <c r="Q26" s="39"/>
      <c r="R26" s="37"/>
      <c r="S26" s="36"/>
      <c r="T26" s="3"/>
    </row>
    <row r="27" spans="1:20" ht="12.75" customHeight="1" x14ac:dyDescent="0.25">
      <c r="A27" s="12"/>
      <c r="B27" s="8"/>
      <c r="C27" s="14"/>
      <c r="D27" s="14"/>
      <c r="E27" s="14"/>
      <c r="F27" s="14"/>
      <c r="G27" s="14"/>
      <c r="H27" s="14"/>
      <c r="I27" s="20" t="str">
        <f>IF(OR((J10)&gt;66, (J11)&gt;100, (J12)&gt;40, (J11+J12)&gt;100),"Warning: Too Much Baggage for This Aircraft!","")</f>
        <v/>
      </c>
      <c r="J27" s="49"/>
      <c r="K27" s="14"/>
      <c r="L27" s="14"/>
      <c r="M27" s="22"/>
      <c r="N27" s="23"/>
      <c r="O27" s="36"/>
      <c r="P27" s="39"/>
      <c r="Q27" s="39"/>
      <c r="R27" s="37"/>
      <c r="S27" s="36"/>
      <c r="T27" s="3"/>
    </row>
    <row r="28" spans="1:20" ht="12.75" customHeight="1" x14ac:dyDescent="0.25">
      <c r="A28" s="12"/>
      <c r="B28" s="8"/>
      <c r="C28" s="14"/>
      <c r="D28" s="14"/>
      <c r="E28" s="14"/>
      <c r="F28" s="14"/>
      <c r="G28" s="14"/>
      <c r="H28" s="14"/>
      <c r="I28" s="20" t="str">
        <f>IF(MAX(M18)&gt;Data!B7,"Warning: C.G. Too Far After for This Aircraft!!!","")&amp;IF(M13&lt;Data!B3,"Warning: C.G. Too Far Forward for This Aircraft!!!","")&amp;IF(OR(L13&gt;3638, L18&gt;3935, L20&gt;3748, L16&gt;3957),"Warning: Weight Limit Exceeded for This Aircraft!!!","")</f>
        <v/>
      </c>
      <c r="J28" s="49"/>
      <c r="K28" s="14"/>
      <c r="L28" s="14"/>
      <c r="M28" s="22"/>
      <c r="N28" s="23"/>
      <c r="O28" s="36"/>
      <c r="P28" s="39"/>
      <c r="Q28" s="39"/>
      <c r="R28" s="37"/>
      <c r="S28" s="36"/>
      <c r="T28" s="3"/>
    </row>
    <row r="29" spans="1:20" ht="12.75" customHeight="1" x14ac:dyDescent="0.25">
      <c r="A29" s="12"/>
      <c r="B29" s="8"/>
      <c r="C29" s="14"/>
      <c r="D29" s="14"/>
      <c r="E29" s="14"/>
      <c r="F29" s="14"/>
      <c r="G29" s="14"/>
      <c r="H29" s="14"/>
      <c r="I29" s="24" t="str">
        <f>IF(J14&gt;Data!B20,"Warning: Too Much Main Fuel","")&amp;IF(J15&gt;Data!B21,"Warning: Too Much Aux Fuel","")</f>
        <v/>
      </c>
      <c r="J29" s="50"/>
      <c r="K29" s="25"/>
      <c r="L29" s="26"/>
      <c r="M29" s="26"/>
      <c r="N29" s="27"/>
      <c r="O29" s="36"/>
      <c r="P29" s="39"/>
      <c r="Q29" s="39"/>
      <c r="R29" s="37"/>
      <c r="S29" s="36"/>
      <c r="T29" s="3"/>
    </row>
    <row r="30" spans="1:20" ht="12.75" customHeight="1" x14ac:dyDescent="0.2">
      <c r="A30" s="12"/>
      <c r="B30" s="8"/>
      <c r="C30" s="14"/>
      <c r="D30" s="14"/>
      <c r="E30" s="14"/>
      <c r="F30" s="14"/>
      <c r="G30" s="14"/>
      <c r="H30" s="14"/>
      <c r="I30" s="158" t="s">
        <v>62</v>
      </c>
      <c r="J30" s="158"/>
      <c r="K30" s="158"/>
      <c r="L30" s="158"/>
      <c r="M30" s="158"/>
      <c r="N30" s="158"/>
      <c r="O30" s="36"/>
      <c r="P30" s="12"/>
      <c r="Q30" s="12"/>
      <c r="R30" s="12"/>
      <c r="S30" s="36"/>
    </row>
    <row r="31" spans="1:20" ht="12.75" customHeight="1" x14ac:dyDescent="0.2">
      <c r="A31" s="12"/>
      <c r="B31" s="8"/>
      <c r="C31" s="14"/>
      <c r="D31" s="14"/>
      <c r="E31" s="14"/>
      <c r="F31" s="14"/>
      <c r="G31" s="14"/>
      <c r="H31" s="14"/>
      <c r="I31" s="159"/>
      <c r="J31" s="159"/>
      <c r="K31" s="159"/>
      <c r="L31" s="159"/>
      <c r="M31" s="159"/>
      <c r="N31" s="159"/>
      <c r="O31" s="36"/>
      <c r="P31" s="12"/>
      <c r="Q31" s="12"/>
      <c r="R31" s="12"/>
      <c r="S31" s="36"/>
    </row>
    <row r="32" spans="1:20" ht="12.75" customHeight="1" x14ac:dyDescent="0.2">
      <c r="A32" s="12"/>
      <c r="B32" s="8"/>
      <c r="C32" s="14"/>
      <c r="D32" s="14"/>
      <c r="E32" s="14"/>
      <c r="F32" s="14"/>
      <c r="G32" s="14"/>
      <c r="H32" s="14"/>
      <c r="I32" s="179" t="s">
        <v>20</v>
      </c>
      <c r="J32" s="180"/>
      <c r="K32" s="180"/>
      <c r="L32" s="180"/>
      <c r="M32" s="180"/>
      <c r="N32" s="181"/>
      <c r="O32" s="36"/>
      <c r="P32" s="12"/>
      <c r="Q32" s="12"/>
      <c r="R32" s="12"/>
      <c r="S32" s="36"/>
    </row>
    <row r="33" spans="1:25" ht="12.75" customHeight="1" x14ac:dyDescent="0.2">
      <c r="A33" s="12"/>
      <c r="B33" s="8"/>
      <c r="C33" s="14"/>
      <c r="D33" s="14"/>
      <c r="E33" s="14"/>
      <c r="F33" s="14"/>
      <c r="G33" s="14"/>
      <c r="H33" s="14"/>
      <c r="I33" s="182"/>
      <c r="J33" s="183"/>
      <c r="K33" s="183"/>
      <c r="L33" s="183"/>
      <c r="M33" s="183"/>
      <c r="N33" s="184"/>
      <c r="O33" s="36"/>
      <c r="P33" s="12"/>
      <c r="Q33" s="12"/>
      <c r="R33" s="12"/>
      <c r="S33" s="36"/>
    </row>
    <row r="34" spans="1:25" ht="15" customHeight="1" x14ac:dyDescent="0.2">
      <c r="A34" s="12"/>
      <c r="B34" s="9"/>
      <c r="C34" s="45"/>
      <c r="D34" s="45"/>
      <c r="E34" s="45"/>
      <c r="F34" s="45"/>
      <c r="G34" s="45"/>
      <c r="H34" s="45"/>
      <c r="I34" s="189" t="s">
        <v>45</v>
      </c>
      <c r="J34" s="190"/>
      <c r="K34" s="190"/>
      <c r="L34" s="190"/>
      <c r="M34" s="190"/>
      <c r="N34" s="191"/>
      <c r="O34" s="36"/>
      <c r="P34" s="12"/>
      <c r="Q34" s="12"/>
      <c r="R34" s="12"/>
      <c r="S34" s="36"/>
      <c r="Y34" s="11"/>
    </row>
    <row r="35" spans="1:25" ht="12.65" customHeight="1" x14ac:dyDescent="0.2">
      <c r="A35" s="12"/>
      <c r="B35" s="9"/>
      <c r="C35" s="45"/>
      <c r="D35" s="45"/>
      <c r="E35" s="45"/>
      <c r="F35" s="45"/>
      <c r="G35" s="45"/>
      <c r="H35" s="45"/>
      <c r="I35" s="192"/>
      <c r="J35" s="193"/>
      <c r="K35" s="193"/>
      <c r="L35" s="193"/>
      <c r="M35" s="193"/>
      <c r="N35" s="194"/>
      <c r="O35" s="36"/>
      <c r="P35" s="12"/>
      <c r="Q35" s="12"/>
      <c r="R35" s="12"/>
      <c r="S35" s="36"/>
      <c r="Y35" s="11"/>
    </row>
    <row r="36" spans="1:25" ht="12.75" customHeight="1" x14ac:dyDescent="0.2">
      <c r="A36" s="12"/>
      <c r="B36" s="9"/>
      <c r="C36" s="45"/>
      <c r="D36" s="45"/>
      <c r="E36" s="45"/>
      <c r="F36" s="45"/>
      <c r="G36" s="45"/>
      <c r="H36" s="45"/>
      <c r="I36" s="195"/>
      <c r="J36" s="196"/>
      <c r="K36" s="196"/>
      <c r="L36" s="196"/>
      <c r="M36" s="196"/>
      <c r="N36" s="197"/>
      <c r="O36" s="36"/>
      <c r="P36" s="12"/>
      <c r="Q36" s="12"/>
      <c r="R36" s="12"/>
      <c r="S36" s="36"/>
      <c r="Y36" s="11"/>
    </row>
    <row r="37" spans="1:25" ht="12.65" customHeight="1" x14ac:dyDescent="0.2">
      <c r="A37" s="12"/>
      <c r="B37" s="9"/>
      <c r="C37" s="45"/>
      <c r="D37" s="45"/>
      <c r="E37" s="45"/>
      <c r="F37" s="45"/>
      <c r="G37" s="45"/>
      <c r="H37" s="45"/>
      <c r="I37" s="187" t="s">
        <v>39</v>
      </c>
      <c r="J37" s="187"/>
      <c r="K37" s="188"/>
      <c r="L37" s="188"/>
      <c r="M37" s="188"/>
      <c r="N37" s="188"/>
      <c r="O37" s="36"/>
      <c r="P37" s="37"/>
      <c r="Q37" s="38"/>
      <c r="R37" s="37"/>
      <c r="S37" s="36"/>
    </row>
    <row r="38" spans="1:25" ht="3.75" customHeight="1" x14ac:dyDescent="0.2">
      <c r="A38" s="12"/>
      <c r="B38" s="8"/>
      <c r="C38" s="14"/>
      <c r="D38" s="14"/>
      <c r="E38" s="14"/>
      <c r="F38" s="14"/>
      <c r="G38" s="14"/>
      <c r="H38" s="14"/>
      <c r="I38" s="187"/>
      <c r="J38" s="187"/>
      <c r="K38" s="188"/>
      <c r="L38" s="188"/>
      <c r="M38" s="188"/>
      <c r="N38" s="188"/>
      <c r="O38" s="36"/>
      <c r="P38" s="37"/>
      <c r="Q38" s="38"/>
      <c r="R38" s="37"/>
      <c r="S38" s="36"/>
    </row>
    <row r="39" spans="1:25" ht="7.5" customHeight="1" x14ac:dyDescent="0.2">
      <c r="A39" s="12"/>
      <c r="B39" s="8"/>
      <c r="C39" s="14"/>
      <c r="D39" s="14"/>
      <c r="E39" s="14"/>
      <c r="F39" s="14"/>
      <c r="G39" s="14"/>
      <c r="H39" s="14"/>
      <c r="I39" s="187"/>
      <c r="J39" s="187"/>
      <c r="K39" s="188"/>
      <c r="L39" s="188"/>
      <c r="M39" s="188"/>
      <c r="N39" s="188"/>
      <c r="O39" s="36"/>
      <c r="P39" s="37"/>
      <c r="Q39" s="38"/>
      <c r="R39" s="37"/>
      <c r="S39" s="36"/>
    </row>
    <row r="40" spans="1:25" ht="4.4000000000000004" customHeight="1" x14ac:dyDescent="0.2">
      <c r="A40" s="12"/>
      <c r="B40" s="8"/>
      <c r="C40" s="14"/>
      <c r="D40" s="14"/>
      <c r="E40" s="14"/>
      <c r="F40" s="14"/>
      <c r="G40" s="14"/>
      <c r="H40" s="14"/>
      <c r="I40" s="28"/>
      <c r="J40" s="29"/>
      <c r="K40" s="173"/>
      <c r="L40" s="173"/>
      <c r="M40" s="173"/>
      <c r="N40" s="173"/>
      <c r="O40" s="36"/>
      <c r="P40" s="37"/>
      <c r="Q40" s="38"/>
      <c r="R40" s="37"/>
      <c r="S40" s="36"/>
    </row>
    <row r="41" spans="1:25" ht="12.75" customHeight="1" x14ac:dyDescent="0.25">
      <c r="A41" s="12"/>
      <c r="B41" s="8"/>
      <c r="C41" s="14"/>
      <c r="D41" s="14"/>
      <c r="E41" s="14"/>
      <c r="F41" s="14"/>
      <c r="G41" s="14"/>
      <c r="H41" s="14"/>
      <c r="I41" s="169" t="s">
        <v>14</v>
      </c>
      <c r="J41" s="170"/>
      <c r="K41" s="173"/>
      <c r="L41" s="173"/>
      <c r="M41" s="173"/>
      <c r="N41" s="173"/>
      <c r="O41" s="36"/>
      <c r="P41" s="37"/>
      <c r="Q41" s="38"/>
      <c r="R41" s="37"/>
      <c r="S41" s="36"/>
    </row>
    <row r="42" spans="1:25" ht="5.5" customHeight="1" x14ac:dyDescent="0.2">
      <c r="A42" s="12"/>
      <c r="B42" s="8"/>
      <c r="C42" s="14"/>
      <c r="D42" s="14"/>
      <c r="E42" s="14"/>
      <c r="F42" s="14"/>
      <c r="G42" s="14"/>
      <c r="H42" s="14"/>
      <c r="I42" s="171"/>
      <c r="J42" s="172"/>
      <c r="K42" s="173"/>
      <c r="L42" s="173"/>
      <c r="M42" s="173"/>
      <c r="N42" s="173"/>
      <c r="O42" s="36"/>
      <c r="P42" s="37"/>
      <c r="Q42" s="38"/>
      <c r="R42" s="14"/>
      <c r="S42" s="36"/>
    </row>
    <row r="43" spans="1:25" ht="5.5" customHeight="1" x14ac:dyDescent="0.2">
      <c r="A43" s="12"/>
      <c r="B43" s="8"/>
      <c r="C43" s="124" t="s">
        <v>34</v>
      </c>
      <c r="D43" s="125"/>
      <c r="E43" s="130"/>
      <c r="F43" s="133" t="s">
        <v>29</v>
      </c>
      <c r="G43" s="136"/>
      <c r="H43" s="14"/>
      <c r="I43" s="206"/>
      <c r="J43" s="207"/>
      <c r="K43" s="200"/>
      <c r="L43" s="200"/>
      <c r="M43" s="200"/>
      <c r="N43" s="200"/>
      <c r="O43" s="36"/>
      <c r="P43" s="37"/>
      <c r="Q43" s="38"/>
      <c r="R43" s="14"/>
      <c r="S43" s="36"/>
    </row>
    <row r="44" spans="1:25" ht="11.25" customHeight="1" x14ac:dyDescent="0.25">
      <c r="A44" s="12"/>
      <c r="B44" s="8"/>
      <c r="C44" s="126"/>
      <c r="D44" s="127"/>
      <c r="E44" s="131"/>
      <c r="F44" s="134"/>
      <c r="G44" s="137"/>
      <c r="H44" s="14"/>
      <c r="I44" s="204" t="s">
        <v>15</v>
      </c>
      <c r="J44" s="205"/>
      <c r="K44" s="200"/>
      <c r="L44" s="200"/>
      <c r="M44" s="200"/>
      <c r="N44" s="200"/>
      <c r="O44" s="36"/>
      <c r="P44" s="37"/>
      <c r="Q44" s="38"/>
      <c r="R44" s="14"/>
      <c r="S44" s="36"/>
    </row>
    <row r="45" spans="1:25" ht="5.5" customHeight="1" x14ac:dyDescent="0.2">
      <c r="A45" s="12"/>
      <c r="B45" s="8"/>
      <c r="C45" s="128"/>
      <c r="D45" s="129"/>
      <c r="E45" s="132"/>
      <c r="F45" s="135"/>
      <c r="G45" s="138"/>
      <c r="H45" s="14"/>
      <c r="I45" s="161"/>
      <c r="J45" s="162"/>
      <c r="K45" s="200"/>
      <c r="L45" s="200"/>
      <c r="M45" s="200"/>
      <c r="N45" s="200"/>
      <c r="O45" s="36"/>
      <c r="P45" s="37"/>
      <c r="Q45" s="38"/>
      <c r="R45" s="14"/>
      <c r="S45" s="36"/>
    </row>
    <row r="46" spans="1:25" ht="5.5" customHeight="1" x14ac:dyDescent="0.2">
      <c r="A46" s="12"/>
      <c r="B46" s="8"/>
      <c r="C46" s="139" t="s">
        <v>33</v>
      </c>
      <c r="D46" s="140"/>
      <c r="E46" s="130"/>
      <c r="F46" s="133" t="s">
        <v>29</v>
      </c>
      <c r="G46" s="136"/>
      <c r="H46" s="14"/>
      <c r="I46" s="156"/>
      <c r="J46" s="157"/>
      <c r="K46" s="173"/>
      <c r="L46" s="173"/>
      <c r="M46" s="173"/>
      <c r="N46" s="173"/>
      <c r="O46" s="36"/>
      <c r="P46" s="37"/>
      <c r="Q46" s="38"/>
      <c r="R46" s="14"/>
      <c r="S46" s="36"/>
    </row>
    <row r="47" spans="1:25" ht="11.25" customHeight="1" x14ac:dyDescent="0.25">
      <c r="A47" s="12"/>
      <c r="B47" s="8"/>
      <c r="C47" s="141"/>
      <c r="D47" s="142"/>
      <c r="E47" s="131"/>
      <c r="F47" s="134"/>
      <c r="G47" s="137"/>
      <c r="H47" s="14"/>
      <c r="I47" s="204" t="s">
        <v>16</v>
      </c>
      <c r="J47" s="205"/>
      <c r="K47" s="173"/>
      <c r="L47" s="173"/>
      <c r="M47" s="173"/>
      <c r="N47" s="173"/>
      <c r="O47" s="36"/>
      <c r="P47" s="37"/>
      <c r="Q47" s="38"/>
      <c r="R47" s="14"/>
      <c r="S47" s="36"/>
    </row>
    <row r="48" spans="1:25" ht="5.15" customHeight="1" x14ac:dyDescent="0.2">
      <c r="A48" s="12"/>
      <c r="B48" s="8"/>
      <c r="C48" s="141"/>
      <c r="D48" s="142"/>
      <c r="E48" s="131"/>
      <c r="F48" s="134"/>
      <c r="G48" s="137"/>
      <c r="H48" s="14"/>
      <c r="I48" s="161"/>
      <c r="J48" s="162"/>
      <c r="K48" s="173"/>
      <c r="L48" s="173"/>
      <c r="M48" s="173"/>
      <c r="N48" s="173"/>
      <c r="O48" s="36"/>
      <c r="P48" s="37"/>
      <c r="Q48" s="38"/>
      <c r="R48" s="14"/>
      <c r="S48" s="36"/>
    </row>
    <row r="49" spans="1:20" ht="5.15" customHeight="1" x14ac:dyDescent="0.2">
      <c r="A49" s="12"/>
      <c r="B49" s="8"/>
      <c r="C49" s="143"/>
      <c r="D49" s="144"/>
      <c r="E49" s="132"/>
      <c r="F49" s="135"/>
      <c r="G49" s="138"/>
      <c r="H49" s="14"/>
      <c r="I49" s="31"/>
      <c r="J49" s="14"/>
      <c r="K49" s="30"/>
      <c r="L49" s="30"/>
      <c r="M49" s="30"/>
      <c r="N49" s="46"/>
      <c r="O49" s="36"/>
      <c r="P49" s="37"/>
      <c r="Q49" s="38"/>
      <c r="R49" s="14"/>
      <c r="S49" s="36"/>
    </row>
    <row r="50" spans="1:20" ht="11.25" customHeight="1" x14ac:dyDescent="0.2">
      <c r="A50" s="12"/>
      <c r="B50" s="8"/>
      <c r="C50" s="139" t="s">
        <v>30</v>
      </c>
      <c r="D50" s="140"/>
      <c r="E50" s="130"/>
      <c r="F50" s="133" t="s">
        <v>29</v>
      </c>
      <c r="G50" s="136"/>
      <c r="H50" s="14"/>
      <c r="I50" s="201" t="s">
        <v>17</v>
      </c>
      <c r="J50" s="202"/>
      <c r="K50" s="202"/>
      <c r="L50" s="202"/>
      <c r="M50" s="202"/>
      <c r="N50" s="203"/>
      <c r="O50" s="36"/>
      <c r="P50" s="37"/>
      <c r="Q50" s="38"/>
      <c r="R50" s="14"/>
      <c r="S50" s="36"/>
    </row>
    <row r="51" spans="1:20" ht="11.25" customHeight="1" x14ac:dyDescent="0.2">
      <c r="A51" s="12"/>
      <c r="B51" s="8"/>
      <c r="C51" s="143"/>
      <c r="D51" s="144"/>
      <c r="E51" s="132"/>
      <c r="F51" s="135"/>
      <c r="G51" s="138"/>
      <c r="H51" s="14"/>
      <c r="I51" s="47"/>
      <c r="J51" s="53"/>
      <c r="K51" s="53"/>
      <c r="L51" s="53"/>
      <c r="M51" s="53"/>
      <c r="N51" s="54"/>
      <c r="O51" s="36"/>
      <c r="P51" s="37"/>
      <c r="Q51" s="38"/>
      <c r="R51" s="14"/>
      <c r="S51" s="36"/>
    </row>
    <row r="52" spans="1:20" ht="11.25" customHeight="1" x14ac:dyDescent="0.2">
      <c r="A52" s="12"/>
      <c r="B52" s="8"/>
      <c r="C52" s="139" t="s">
        <v>31</v>
      </c>
      <c r="D52" s="140"/>
      <c r="E52" s="130"/>
      <c r="F52" s="134" t="s">
        <v>29</v>
      </c>
      <c r="G52" s="136"/>
      <c r="H52" s="14"/>
      <c r="I52" s="48"/>
      <c r="J52" s="52"/>
      <c r="K52" s="160"/>
      <c r="L52" s="160"/>
      <c r="M52" s="90"/>
      <c r="N52" s="32"/>
      <c r="O52" s="36"/>
      <c r="P52" s="37"/>
      <c r="Q52" s="38"/>
      <c r="R52" s="14"/>
      <c r="S52" s="36"/>
    </row>
    <row r="53" spans="1:20" ht="12.75" customHeight="1" x14ac:dyDescent="0.25">
      <c r="A53" s="12"/>
      <c r="B53" s="8"/>
      <c r="C53" s="143"/>
      <c r="D53" s="144"/>
      <c r="E53" s="132"/>
      <c r="F53" s="135"/>
      <c r="G53" s="138"/>
      <c r="H53" s="14"/>
      <c r="I53" s="92" t="s">
        <v>19</v>
      </c>
      <c r="J53" s="51"/>
      <c r="K53" s="25"/>
      <c r="L53" s="25"/>
      <c r="M53" s="198" t="s">
        <v>18</v>
      </c>
      <c r="N53" s="199"/>
      <c r="O53" s="36"/>
      <c r="P53" s="12"/>
      <c r="Q53" s="12"/>
      <c r="R53" s="12"/>
      <c r="S53" s="36"/>
    </row>
    <row r="54" spans="1:20" ht="12.75" customHeight="1" thickBot="1" x14ac:dyDescent="0.35">
      <c r="A54" s="12"/>
      <c r="B54" s="1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55"/>
      <c r="O54" s="42"/>
      <c r="P54" s="41"/>
      <c r="Q54" s="41"/>
      <c r="R54" s="40"/>
      <c r="S54" s="42"/>
      <c r="T54" s="3"/>
    </row>
    <row r="55" spans="1:20" ht="12.75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4"/>
      <c r="P55" s="12"/>
      <c r="Q55" s="12"/>
      <c r="R55" s="12"/>
      <c r="S55" s="12"/>
      <c r="T55" s="3"/>
    </row>
    <row r="56" spans="1:20" ht="12.75" customHeight="1" x14ac:dyDescent="0.3">
      <c r="A56" s="12"/>
      <c r="B56" s="12"/>
      <c r="C56" s="12"/>
      <c r="D56" s="12"/>
      <c r="E56" s="12"/>
      <c r="F56" s="12"/>
      <c r="G56" s="12"/>
      <c r="H56" s="12"/>
      <c r="I56" s="67"/>
      <c r="J56" s="67"/>
      <c r="K56" s="67"/>
      <c r="L56" s="12"/>
      <c r="M56" s="68"/>
      <c r="N56" s="12"/>
      <c r="O56" s="70"/>
      <c r="P56" s="12"/>
      <c r="Q56" s="12"/>
      <c r="R56" s="12"/>
      <c r="S56" s="12"/>
      <c r="T56" s="3"/>
    </row>
    <row r="57" spans="1:20" ht="12.75" customHeight="1" x14ac:dyDescent="0.3">
      <c r="A57" s="12"/>
      <c r="B57" s="12"/>
      <c r="C57" s="12"/>
      <c r="D57" s="12"/>
      <c r="E57" s="12"/>
      <c r="F57" s="12"/>
      <c r="G57" s="12"/>
      <c r="H57" s="12"/>
      <c r="I57" s="67"/>
      <c r="J57" s="67"/>
      <c r="K57" s="67"/>
      <c r="L57" s="68"/>
      <c r="M57" s="68"/>
      <c r="N57" s="12"/>
      <c r="O57" s="70"/>
      <c r="P57" s="12"/>
      <c r="Q57" s="12"/>
      <c r="R57" s="12"/>
      <c r="S57" s="12"/>
      <c r="T57" s="3"/>
    </row>
    <row r="58" spans="1:20" ht="12.75" customHeight="1" x14ac:dyDescent="0.3">
      <c r="A58" s="12"/>
      <c r="B58" s="12"/>
      <c r="C58" s="12"/>
      <c r="D58" s="12"/>
      <c r="E58" s="12"/>
      <c r="F58" s="12"/>
      <c r="G58" s="12"/>
      <c r="H58" s="12"/>
      <c r="I58" s="66"/>
      <c r="J58" s="67"/>
      <c r="K58" s="67"/>
      <c r="L58" s="68"/>
      <c r="M58" s="69"/>
      <c r="N58" s="12"/>
      <c r="O58" s="12"/>
      <c r="P58" s="12"/>
      <c r="Q58" s="12"/>
      <c r="R58" s="12"/>
      <c r="S58" s="12"/>
    </row>
    <row r="59" spans="1:20" ht="12.75" customHeight="1" x14ac:dyDescent="0.3">
      <c r="A59" s="12"/>
      <c r="B59" s="12"/>
      <c r="C59" s="12"/>
      <c r="D59" s="12"/>
      <c r="E59" s="12"/>
      <c r="F59" s="12"/>
      <c r="G59" s="12"/>
      <c r="H59" s="12"/>
      <c r="I59" s="67"/>
      <c r="J59" s="67"/>
      <c r="K59" s="67"/>
      <c r="L59" s="69"/>
      <c r="M59" s="70"/>
      <c r="N59" s="70"/>
      <c r="O59" s="12"/>
      <c r="P59" s="12"/>
      <c r="Q59" s="12"/>
      <c r="R59" s="12"/>
      <c r="S59" s="12"/>
    </row>
    <row r="60" spans="1:20" ht="12.75" customHeight="1" x14ac:dyDescent="0.3">
      <c r="A60" s="12"/>
      <c r="B60" s="71"/>
      <c r="C60" s="71"/>
      <c r="D60" s="71"/>
      <c r="E60" s="71"/>
      <c r="F60" s="71"/>
      <c r="G60" s="71"/>
      <c r="H60" s="71"/>
      <c r="I60" s="14"/>
      <c r="J60" s="14"/>
      <c r="K60" s="70"/>
      <c r="L60" s="70"/>
      <c r="M60" s="12"/>
      <c r="N60" s="12"/>
      <c r="O60" s="12"/>
      <c r="P60" s="12"/>
      <c r="Q60" s="12"/>
      <c r="R60" s="12"/>
      <c r="S60" s="12"/>
    </row>
    <row r="61" spans="1:20" ht="12.75" customHeight="1" x14ac:dyDescent="0.2">
      <c r="A61" s="12"/>
      <c r="B61" s="71"/>
      <c r="C61" s="71"/>
      <c r="D61" s="71"/>
      <c r="E61" s="71"/>
      <c r="F61" s="71"/>
      <c r="G61" s="71"/>
      <c r="H61" s="71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20" ht="12.7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4"/>
      <c r="P62" s="12"/>
      <c r="Q62" s="12"/>
      <c r="R62" s="12"/>
      <c r="S62" s="12"/>
    </row>
    <row r="63" spans="1:20" ht="12.75" customHeight="1" x14ac:dyDescent="0.2">
      <c r="A63" s="12"/>
      <c r="B63" s="145"/>
      <c r="C63" s="89"/>
      <c r="D63" s="89"/>
      <c r="E63" s="89"/>
      <c r="F63" s="89"/>
      <c r="G63" s="89"/>
      <c r="H63" s="12"/>
      <c r="I63" s="12"/>
      <c r="J63" s="12"/>
      <c r="K63" s="12"/>
      <c r="L63" s="12"/>
      <c r="M63" s="14"/>
      <c r="N63" s="14"/>
      <c r="O63" s="14"/>
      <c r="P63" s="12"/>
      <c r="Q63" s="12"/>
      <c r="R63" s="12"/>
      <c r="S63" s="12"/>
    </row>
    <row r="64" spans="1:20" ht="12.75" customHeight="1" x14ac:dyDescent="0.3">
      <c r="A64" s="12"/>
      <c r="B64" s="145"/>
      <c r="C64" s="89"/>
      <c r="D64" s="89"/>
      <c r="E64" s="89"/>
      <c r="F64" s="89"/>
      <c r="G64" s="89"/>
      <c r="H64" s="12"/>
      <c r="I64" s="14"/>
      <c r="J64" s="14"/>
      <c r="K64" s="14"/>
      <c r="L64" s="14"/>
      <c r="M64" s="72"/>
      <c r="N64" s="70"/>
      <c r="O64" s="14"/>
      <c r="P64" s="12"/>
      <c r="Q64" s="12"/>
      <c r="R64" s="12"/>
      <c r="S64" s="12"/>
    </row>
    <row r="65" spans="1:19" ht="12.75" customHeight="1" x14ac:dyDescent="0.3">
      <c r="A65" s="12"/>
      <c r="B65" s="71"/>
      <c r="C65" s="71"/>
      <c r="D65" s="71"/>
      <c r="E65" s="71"/>
      <c r="F65" s="71"/>
      <c r="G65" s="71"/>
      <c r="H65" s="12"/>
      <c r="I65" s="73"/>
      <c r="J65" s="73"/>
      <c r="K65" s="72"/>
      <c r="L65" s="72"/>
      <c r="M65" s="72"/>
      <c r="N65" s="70"/>
      <c r="O65" s="14"/>
      <c r="P65" s="12"/>
      <c r="Q65" s="12"/>
      <c r="R65" s="12"/>
      <c r="S65" s="12"/>
    </row>
    <row r="66" spans="1:19" ht="12.75" customHeight="1" x14ac:dyDescent="0.3">
      <c r="A66" s="12"/>
      <c r="B66" s="71"/>
      <c r="C66" s="71"/>
      <c r="D66" s="71"/>
      <c r="E66" s="71"/>
      <c r="F66" s="71"/>
      <c r="G66" s="71"/>
      <c r="H66" s="12"/>
      <c r="I66" s="72"/>
      <c r="J66" s="72"/>
      <c r="K66" s="72"/>
      <c r="L66" s="72"/>
      <c r="M66" s="70"/>
      <c r="N66" s="70"/>
      <c r="O66" s="14"/>
      <c r="P66" s="12"/>
      <c r="Q66" s="12"/>
      <c r="R66" s="12"/>
      <c r="S66" s="12"/>
    </row>
    <row r="67" spans="1:19" ht="12.75" customHeight="1" x14ac:dyDescent="0.3">
      <c r="B67" s="60"/>
      <c r="C67" s="60"/>
      <c r="D67" s="60"/>
      <c r="E67" s="60"/>
      <c r="F67" s="60"/>
      <c r="G67" s="60"/>
      <c r="I67" s="6"/>
      <c r="J67" s="6"/>
      <c r="K67" s="6"/>
      <c r="L67" s="6"/>
      <c r="M67" s="2"/>
      <c r="N67" s="2"/>
      <c r="O67" s="2"/>
    </row>
    <row r="68" spans="1:19" ht="12.75" customHeight="1" x14ac:dyDescent="0.2">
      <c r="B68" s="60"/>
      <c r="C68" s="60"/>
      <c r="D68" s="60"/>
      <c r="E68" s="60"/>
      <c r="F68" s="60"/>
      <c r="G68" s="60"/>
      <c r="I68" s="2"/>
      <c r="J68" s="2"/>
      <c r="K68" s="2"/>
      <c r="L68" s="2"/>
      <c r="M68" s="2"/>
      <c r="N68" s="2"/>
    </row>
    <row r="69" spans="1:19" ht="12.75" customHeight="1" x14ac:dyDescent="0.2">
      <c r="B69" s="60"/>
      <c r="C69" s="60"/>
      <c r="D69" s="60"/>
      <c r="E69" s="60"/>
      <c r="F69" s="60"/>
      <c r="G69" s="60"/>
      <c r="I69" s="2"/>
      <c r="J69" s="2"/>
      <c r="K69" s="2"/>
      <c r="L69" s="2"/>
    </row>
    <row r="70" spans="1:19" ht="12.75" customHeight="1" x14ac:dyDescent="0.2">
      <c r="B70" s="60"/>
      <c r="C70" s="60"/>
      <c r="D70" s="60"/>
      <c r="E70" s="60"/>
      <c r="F70" s="60"/>
      <c r="G70" s="60"/>
    </row>
    <row r="71" spans="1:19" ht="12.75" customHeight="1" x14ac:dyDescent="0.2">
      <c r="B71" s="62"/>
      <c r="C71" s="62"/>
      <c r="D71" s="62"/>
      <c r="E71" s="62"/>
      <c r="F71" s="62"/>
      <c r="G71" s="62"/>
    </row>
    <row r="72" spans="1:19" ht="12.75" customHeight="1" x14ac:dyDescent="0.2">
      <c r="B72" s="60"/>
      <c r="C72" s="60"/>
      <c r="D72" s="60"/>
      <c r="E72" s="60"/>
      <c r="F72" s="60"/>
      <c r="G72" s="60"/>
    </row>
    <row r="73" spans="1:19" ht="12.75" customHeight="1" x14ac:dyDescent="0.2">
      <c r="B73" s="61"/>
      <c r="C73" s="61"/>
      <c r="D73" s="61"/>
      <c r="E73" s="61"/>
      <c r="F73" s="61"/>
      <c r="G73" s="61"/>
    </row>
    <row r="74" spans="1:19" ht="12.75" customHeight="1" x14ac:dyDescent="0.2">
      <c r="B74" s="62"/>
      <c r="C74" s="62"/>
      <c r="D74" s="62"/>
      <c r="E74" s="62"/>
      <c r="F74" s="62"/>
      <c r="G74" s="62"/>
    </row>
    <row r="75" spans="1:19" ht="12.75" customHeight="1" x14ac:dyDescent="0.2">
      <c r="B75" s="63"/>
      <c r="C75" s="63"/>
      <c r="D75" s="63"/>
      <c r="E75" s="63"/>
      <c r="F75" s="63"/>
      <c r="G75" s="63"/>
    </row>
    <row r="76" spans="1:19" ht="12.75" customHeight="1" x14ac:dyDescent="0.2">
      <c r="B76" s="63"/>
      <c r="C76" s="63"/>
      <c r="D76" s="63"/>
      <c r="E76" s="63"/>
      <c r="F76" s="63"/>
      <c r="G76" s="63"/>
    </row>
    <row r="77" spans="1:19" ht="12.75" customHeight="1" x14ac:dyDescent="0.2">
      <c r="B77" s="61"/>
      <c r="C77" s="61"/>
      <c r="D77" s="61"/>
      <c r="E77" s="61"/>
      <c r="F77" s="61"/>
      <c r="G77" s="61"/>
    </row>
    <row r="78" spans="1:19" ht="12.75" customHeight="1" x14ac:dyDescent="0.2">
      <c r="B78" s="60"/>
      <c r="C78" s="60"/>
      <c r="D78" s="60"/>
      <c r="E78" s="60"/>
      <c r="F78" s="60"/>
      <c r="G78" s="60"/>
    </row>
    <row r="79" spans="1:19" ht="12.75" customHeight="1" x14ac:dyDescent="0.2">
      <c r="B79" s="60"/>
      <c r="C79" s="60"/>
      <c r="D79" s="60"/>
      <c r="E79" s="60"/>
      <c r="F79" s="60"/>
      <c r="G79" s="60"/>
    </row>
    <row r="80" spans="1:19" ht="12.75" customHeight="1" x14ac:dyDescent="0.2">
      <c r="B80" s="60"/>
      <c r="C80" s="60"/>
      <c r="D80" s="60"/>
      <c r="E80" s="60"/>
      <c r="F80" s="60"/>
      <c r="G80" s="60"/>
    </row>
    <row r="81" spans="2:17" ht="12.75" customHeight="1" x14ac:dyDescent="0.2">
      <c r="B81" s="60"/>
      <c r="C81" s="60"/>
      <c r="D81" s="60"/>
      <c r="E81" s="60"/>
      <c r="F81" s="60"/>
      <c r="G81" s="60"/>
    </row>
    <row r="82" spans="2:17" ht="12.75" customHeight="1" x14ac:dyDescent="0.25">
      <c r="B82" s="64"/>
      <c r="C82" s="123" t="s">
        <v>48</v>
      </c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</row>
    <row r="83" spans="2:17" ht="12.75" customHeight="1" x14ac:dyDescent="0.3">
      <c r="B83" s="74"/>
      <c r="C83" s="74"/>
      <c r="D83" s="74"/>
      <c r="E83" s="74"/>
      <c r="F83" s="74"/>
      <c r="G83" s="74"/>
      <c r="H83"/>
      <c r="I83"/>
    </row>
    <row r="84" spans="2:17" ht="12.75" customHeight="1" x14ac:dyDescent="0.3">
      <c r="B84" s="65"/>
      <c r="C84" s="65"/>
      <c r="D84" s="65"/>
      <c r="E84" s="65"/>
      <c r="F84" s="65"/>
      <c r="G84" s="65"/>
      <c r="H84"/>
      <c r="I84" s="65"/>
    </row>
    <row r="85" spans="2:17" ht="12.75" customHeight="1" x14ac:dyDescent="0.3">
      <c r="B85" s="65"/>
      <c r="C85" s="65"/>
      <c r="D85" s="65"/>
      <c r="E85" s="65"/>
      <c r="F85" s="65"/>
      <c r="G85" s="65"/>
      <c r="H85"/>
      <c r="I85"/>
    </row>
    <row r="86" spans="2:17" ht="12.75" customHeight="1" x14ac:dyDescent="0.3">
      <c r="B86" s="65"/>
      <c r="C86" s="65"/>
      <c r="D86" s="65"/>
      <c r="E86" s="65"/>
      <c r="F86" s="65"/>
      <c r="G86" s="65"/>
      <c r="H86"/>
      <c r="I86"/>
    </row>
    <row r="87" spans="2:17" ht="12.75" customHeight="1" x14ac:dyDescent="0.3">
      <c r="B87" s="65"/>
      <c r="C87" s="65"/>
      <c r="D87" s="65"/>
      <c r="E87" s="65"/>
      <c r="F87" s="65"/>
      <c r="G87" s="65"/>
      <c r="H87"/>
      <c r="I87"/>
    </row>
    <row r="88" spans="2:17" ht="12.75" customHeight="1" x14ac:dyDescent="0.3">
      <c r="B88" s="65"/>
      <c r="C88" s="65"/>
      <c r="D88" s="65"/>
      <c r="E88" s="65"/>
      <c r="F88" s="65"/>
      <c r="G88" s="65"/>
      <c r="H88"/>
      <c r="I88"/>
    </row>
    <row r="89" spans="2:17" ht="12.75" customHeight="1" x14ac:dyDescent="0.3">
      <c r="B89" s="65"/>
      <c r="C89" s="65"/>
      <c r="D89" s="65"/>
      <c r="E89" s="65"/>
      <c r="F89" s="65"/>
      <c r="G89" s="65"/>
      <c r="H89"/>
      <c r="I89"/>
    </row>
    <row r="90" spans="2:17" ht="12.75" customHeight="1" x14ac:dyDescent="0.3">
      <c r="B90" s="65"/>
      <c r="C90" s="65"/>
      <c r="D90" s="65"/>
      <c r="E90" s="65"/>
      <c r="F90" s="65"/>
      <c r="G90" s="65"/>
      <c r="H90"/>
      <c r="I90"/>
    </row>
    <row r="91" spans="2:17" ht="12.75" customHeight="1" x14ac:dyDescent="0.3">
      <c r="B91" s="65"/>
      <c r="C91" s="65"/>
      <c r="D91" s="65"/>
      <c r="E91" s="65"/>
      <c r="F91" s="65"/>
      <c r="G91" s="65"/>
      <c r="H91"/>
      <c r="I91"/>
    </row>
    <row r="92" spans="2:17" ht="12.75" customHeight="1" x14ac:dyDescent="0.3">
      <c r="B92" s="65"/>
      <c r="C92" s="65"/>
      <c r="D92" s="65"/>
      <c r="E92" s="65"/>
      <c r="F92" s="65"/>
      <c r="G92" s="65"/>
      <c r="H92"/>
      <c r="I92"/>
    </row>
  </sheetData>
  <sheetProtection algorithmName="SHA-512" hashValue="doy0YN7utzcYucc+EAyR5B3qrSto27NEpFVDhkDahErhXGU3H52HL9zOsIezyq4BQN76gt1t3T5wkQD5rztIkQ==" saltValue="UvrapTAZMazcVNSDJPsq1A==" spinCount="100000" sheet="1" objects="1" scenarios="1" selectLockedCells="1"/>
  <customSheetViews>
    <customSheetView guid="{19898B3C-F880-11DE-A5CE-0026BB674B30}" scale="200" outlineSymbols="0" fitToPage="1" printArea="1" hiddenColumns="1">
      <selection sqref="A1:K29"/>
      <pageMargins left="0.5" right="0" top="1.31" bottom="0.17" header="0.5" footer="0.5"/>
      <printOptions horizontalCentered="1"/>
      <pageSetup scale="94" orientation="landscape" horizontalDpi="4294967292" verticalDpi="4294967292"/>
      <headerFooter alignWithMargins="0"/>
    </customSheetView>
  </customSheetViews>
  <mergeCells count="59">
    <mergeCell ref="I22:N22"/>
    <mergeCell ref="J23:N23"/>
    <mergeCell ref="J24:N24"/>
    <mergeCell ref="M53:N53"/>
    <mergeCell ref="K43:N45"/>
    <mergeCell ref="I50:N50"/>
    <mergeCell ref="I44:J44"/>
    <mergeCell ref="I45:J45"/>
    <mergeCell ref="I43:J43"/>
    <mergeCell ref="I47:J47"/>
    <mergeCell ref="K46:N48"/>
    <mergeCell ref="J1:M1"/>
    <mergeCell ref="J6:K6"/>
    <mergeCell ref="J4:N4"/>
    <mergeCell ref="I41:J41"/>
    <mergeCell ref="I42:J42"/>
    <mergeCell ref="K40:N42"/>
    <mergeCell ref="I25:N25"/>
    <mergeCell ref="J20:K20"/>
    <mergeCell ref="I32:N33"/>
    <mergeCell ref="I2:N3"/>
    <mergeCell ref="J10:K10"/>
    <mergeCell ref="I37:J39"/>
    <mergeCell ref="K37:N39"/>
    <mergeCell ref="I34:N36"/>
    <mergeCell ref="J14:K14"/>
    <mergeCell ref="J16:K16"/>
    <mergeCell ref="B63:B64"/>
    <mergeCell ref="J7:K7"/>
    <mergeCell ref="J8:K8"/>
    <mergeCell ref="J9:K9"/>
    <mergeCell ref="J11:K11"/>
    <mergeCell ref="J12:K12"/>
    <mergeCell ref="J13:K13"/>
    <mergeCell ref="J15:K15"/>
    <mergeCell ref="J17:K17"/>
    <mergeCell ref="J18:K18"/>
    <mergeCell ref="J19:K19"/>
    <mergeCell ref="I46:J46"/>
    <mergeCell ref="I30:N31"/>
    <mergeCell ref="K52:L52"/>
    <mergeCell ref="I48:J48"/>
    <mergeCell ref="C52:D53"/>
    <mergeCell ref="C82:Q82"/>
    <mergeCell ref="C43:D45"/>
    <mergeCell ref="E43:E45"/>
    <mergeCell ref="F43:F45"/>
    <mergeCell ref="G43:G45"/>
    <mergeCell ref="C46:D49"/>
    <mergeCell ref="E46:E49"/>
    <mergeCell ref="F46:F49"/>
    <mergeCell ref="G46:G49"/>
    <mergeCell ref="E52:E53"/>
    <mergeCell ref="F52:F53"/>
    <mergeCell ref="G52:G53"/>
    <mergeCell ref="C50:D51"/>
    <mergeCell ref="E50:E51"/>
    <mergeCell ref="F50:F51"/>
    <mergeCell ref="G50:G51"/>
  </mergeCells>
  <phoneticPr fontId="0" type="noConversion"/>
  <conditionalFormatting sqref="I25:N25">
    <cfRule type="expression" dxfId="3" priority="3">
      <formula>"(Len($D$20)+Len($D$21)+Len($D$22)+Len($D$23) == 0)"</formula>
    </cfRule>
    <cfRule type="expression" dxfId="2" priority="5">
      <formula>(LEN($I$26:$I$29) &gt; 1)</formula>
    </cfRule>
  </conditionalFormatting>
  <conditionalFormatting sqref="I22:N22">
    <cfRule type="expression" dxfId="1" priority="1">
      <formula>"(Len($D$20)+Len($D$21)+Len($D$22)+Len($D$23) == 0)"</formula>
    </cfRule>
    <cfRule type="expression" dxfId="0" priority="2">
      <formula>(LEN($I$26:$I$29) &gt; 1)</formula>
    </cfRule>
  </conditionalFormatting>
  <dataValidations count="7">
    <dataValidation type="decimal" allowBlank="1" showInputMessage="1" showErrorMessage="1" sqref="J8:K9" xr:uid="{3F5F9DFD-184D-40C9-BAB1-8E7F3763FC13}">
      <formula1>0</formula1>
      <formula2>1000</formula2>
    </dataValidation>
    <dataValidation type="decimal" allowBlank="1" showInputMessage="1" showErrorMessage="1" sqref="J11:K11 J19:K19 J16" xr:uid="{0AAB4ED2-6C65-4946-B1E2-714CF5445188}">
      <formula1>0</formula1>
      <formula2>100</formula2>
    </dataValidation>
    <dataValidation type="list" allowBlank="1" showInputMessage="1" showErrorMessage="1" sqref="J4:N4" xr:uid="{7A689CD2-39CB-482B-8192-93F96FA46C42}">
      <formula1>idents</formula1>
    </dataValidation>
    <dataValidation type="decimal" allowBlank="1" showInputMessage="1" showErrorMessage="1" sqref="J12:K12" xr:uid="{5F1CCA50-C378-4CA4-9D7F-F0086CA8EDB5}">
      <formula1>0</formula1>
      <formula2>40</formula2>
    </dataValidation>
    <dataValidation type="decimal" allowBlank="1" showInputMessage="1" showErrorMessage="1" sqref="J10:K10" xr:uid="{2CD5B5A1-2AF0-42A1-B24C-AD3BC2860F31}">
      <formula1>0</formula1>
      <formula2>66</formula2>
    </dataValidation>
    <dataValidation type="decimal" allowBlank="1" showInputMessage="1" showErrorMessage="1" sqref="J14:K14" xr:uid="{3D330738-2AE2-4F23-81A4-2BCACEDAB8C2}">
      <formula1>0</formula1>
      <formula2>52</formula2>
    </dataValidation>
    <dataValidation type="decimal" allowBlank="1" showInputMessage="1" showErrorMessage="1" sqref="J15:K15" xr:uid="{C8ECAA9C-333A-491F-BF9D-B59945EEF4F5}">
      <formula1>0</formula1>
      <formula2>27.4</formula2>
    </dataValidation>
  </dataValidations>
  <printOptions horizontalCentered="1"/>
  <pageMargins left="0.25" right="0.25" top="0.49" bottom="0.41" header="0.3" footer="0.3"/>
  <pageSetup scale="90" orientation="landscape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10214-B512-4C09-8C97-8FE9BA99825E}">
  <sheetPr codeName="Sheet2"/>
  <dimension ref="A1:C4"/>
  <sheetViews>
    <sheetView workbookViewId="0">
      <selection activeCell="B16" sqref="B16"/>
    </sheetView>
  </sheetViews>
  <sheetFormatPr defaultRowHeight="13" x14ac:dyDescent="0.3"/>
  <cols>
    <col min="1" max="1" width="13.26953125" customWidth="1"/>
    <col min="2" max="2" width="12.54296875" customWidth="1"/>
    <col min="3" max="3" width="51.26953125" customWidth="1"/>
  </cols>
  <sheetData>
    <row r="1" spans="1:3" x14ac:dyDescent="0.3">
      <c r="A1" s="94" t="s">
        <v>40</v>
      </c>
      <c r="B1" s="94" t="s">
        <v>41</v>
      </c>
      <c r="C1" s="94" t="s">
        <v>42</v>
      </c>
    </row>
    <row r="2" spans="1:3" x14ac:dyDescent="0.3">
      <c r="A2" s="93">
        <v>44013</v>
      </c>
      <c r="B2" t="s">
        <v>68</v>
      </c>
      <c r="C2" t="s">
        <v>46</v>
      </c>
    </row>
    <row r="3" spans="1:3" x14ac:dyDescent="0.3">
      <c r="A3" s="93">
        <v>44137</v>
      </c>
      <c r="B3" t="s">
        <v>75</v>
      </c>
      <c r="C3" t="s">
        <v>76</v>
      </c>
    </row>
    <row r="4" spans="1:3" x14ac:dyDescent="0.3">
      <c r="A4" s="95"/>
    </row>
  </sheetData>
  <sheetProtection algorithmName="SHA-512" hashValue="Ln2Nu50qPVD+aQY/4JcqQhRxEBtDvDmk19K7P5IPfu+FiajA9YjDwrE8x+C4hgfXfFp7D8Qle1vUpuUxQRX2vQ==" saltValue="1vcZu84d3xTF6GzO2s2qp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10B38-C5BA-4B89-AE86-6C7443E4D577}">
  <sheetPr codeName="Sheet3"/>
  <dimension ref="A1:AG38"/>
  <sheetViews>
    <sheetView zoomScaleNormal="100" workbookViewId="0">
      <selection activeCell="H10" sqref="H10"/>
    </sheetView>
  </sheetViews>
  <sheetFormatPr defaultColWidth="8.81640625" defaultRowHeight="13" x14ac:dyDescent="0.3"/>
  <cols>
    <col min="6" max="6" width="8.7265625" customWidth="1"/>
    <col min="7" max="7" width="14.1796875" customWidth="1"/>
    <col min="8" max="8" width="11.453125" customWidth="1"/>
    <col min="9" max="9" width="14.26953125" customWidth="1"/>
    <col min="10" max="10" width="15.453125" customWidth="1"/>
    <col min="11" max="11" width="18.26953125" customWidth="1"/>
    <col min="12" max="12" width="10.54296875" customWidth="1"/>
    <col min="13" max="13" width="16.54296875" customWidth="1"/>
    <col min="14" max="14" width="17.1796875" customWidth="1"/>
    <col min="15" max="15" width="6.81640625" customWidth="1"/>
    <col min="16" max="16" width="6.7265625" customWidth="1"/>
    <col min="17" max="17" width="7.26953125" customWidth="1"/>
    <col min="18" max="18" width="7.1796875" customWidth="1"/>
    <col min="19" max="20" width="6.26953125" customWidth="1"/>
    <col min="21" max="22" width="6.1796875" customWidth="1"/>
    <col min="23" max="23" width="6.453125" customWidth="1"/>
    <col min="24" max="24" width="5.54296875" customWidth="1"/>
    <col min="25" max="26" width="5" customWidth="1"/>
    <col min="27" max="27" width="6.453125" customWidth="1"/>
    <col min="28" max="28" width="5.54296875" customWidth="1"/>
    <col min="29" max="29" width="6.81640625" customWidth="1"/>
    <col min="30" max="30" width="5.7265625" customWidth="1"/>
    <col min="31" max="31" width="6.1796875" customWidth="1"/>
    <col min="32" max="32" width="5.81640625" customWidth="1"/>
    <col min="33" max="33" width="5.7265625" customWidth="1"/>
    <col min="34" max="34" width="15.26953125" customWidth="1"/>
  </cols>
  <sheetData>
    <row r="1" spans="1:33" x14ac:dyDescent="0.3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x14ac:dyDescent="0.3">
      <c r="A2" s="96"/>
      <c r="B2" s="216" t="s">
        <v>8</v>
      </c>
      <c r="C2" s="216"/>
      <c r="D2" s="216"/>
      <c r="E2" s="96"/>
      <c r="F2" s="97" t="s">
        <v>22</v>
      </c>
      <c r="G2" s="98" t="s">
        <v>23</v>
      </c>
      <c r="H2" s="98" t="s">
        <v>32</v>
      </c>
      <c r="I2" s="98" t="s">
        <v>24</v>
      </c>
      <c r="J2" s="97" t="s">
        <v>59</v>
      </c>
      <c r="K2" s="97" t="s">
        <v>60</v>
      </c>
      <c r="L2" s="97" t="s">
        <v>25</v>
      </c>
      <c r="M2" s="97" t="s">
        <v>65</v>
      </c>
      <c r="N2" s="97" t="s">
        <v>47</v>
      </c>
    </row>
    <row r="3" spans="1:33" x14ac:dyDescent="0.3">
      <c r="A3" s="96"/>
      <c r="B3" s="110">
        <v>93.1</v>
      </c>
      <c r="C3" s="213">
        <v>3005</v>
      </c>
      <c r="D3" s="214"/>
      <c r="E3" s="96"/>
      <c r="F3" s="100" t="s">
        <v>61</v>
      </c>
      <c r="G3" s="100">
        <v>2793</v>
      </c>
      <c r="H3" s="100">
        <v>3935</v>
      </c>
      <c r="I3" s="100">
        <v>94.56</v>
      </c>
      <c r="J3" s="100">
        <v>103.5</v>
      </c>
      <c r="K3" s="115">
        <v>126</v>
      </c>
      <c r="L3" s="100">
        <v>52</v>
      </c>
      <c r="M3" s="100">
        <v>27.4</v>
      </c>
      <c r="N3" s="122">
        <v>264133.90999999997</v>
      </c>
    </row>
    <row r="4" spans="1:33" x14ac:dyDescent="0.3">
      <c r="A4" s="96"/>
      <c r="B4" s="110">
        <v>93.1</v>
      </c>
      <c r="C4" s="213">
        <v>3415</v>
      </c>
      <c r="D4" s="214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33" x14ac:dyDescent="0.3">
      <c r="A5" s="96"/>
      <c r="B5" s="99">
        <v>94</v>
      </c>
      <c r="C5" s="213">
        <v>3752</v>
      </c>
      <c r="D5" s="214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33" x14ac:dyDescent="0.3">
      <c r="A6" s="96"/>
      <c r="B6" s="110">
        <v>95.46</v>
      </c>
      <c r="C6" s="213">
        <v>3935</v>
      </c>
      <c r="D6" s="214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33" x14ac:dyDescent="0.3">
      <c r="A7" s="96"/>
      <c r="B7" s="111">
        <v>96.48</v>
      </c>
      <c r="C7" s="213">
        <v>3935</v>
      </c>
      <c r="D7" s="214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33" x14ac:dyDescent="0.3">
      <c r="A8" s="96"/>
      <c r="B8" s="110">
        <v>95.9</v>
      </c>
      <c r="C8" s="215">
        <v>3005</v>
      </c>
      <c r="D8" s="215"/>
      <c r="E8" s="96"/>
      <c r="F8" s="113"/>
      <c r="G8" s="96"/>
      <c r="H8" s="96"/>
    </row>
    <row r="9" spans="1:33" x14ac:dyDescent="0.3">
      <c r="A9" s="96"/>
      <c r="B9" s="110">
        <v>93.1</v>
      </c>
      <c r="C9" s="213">
        <v>3005</v>
      </c>
      <c r="D9" s="214"/>
      <c r="E9" s="96"/>
      <c r="F9" s="114"/>
      <c r="G9" s="96"/>
      <c r="H9" s="96"/>
    </row>
    <row r="10" spans="1:33" x14ac:dyDescent="0.3">
      <c r="A10" s="96"/>
      <c r="B10" s="217" t="s">
        <v>10</v>
      </c>
      <c r="C10" s="217"/>
      <c r="D10" s="217"/>
      <c r="E10" s="96"/>
      <c r="F10" s="114"/>
      <c r="G10" s="96"/>
      <c r="H10" s="96"/>
    </row>
    <row r="11" spans="1:33" x14ac:dyDescent="0.3">
      <c r="A11" s="96"/>
      <c r="B11" s="102">
        <f>'DA42'!L13</f>
        <v>2793</v>
      </c>
      <c r="C11" s="218">
        <f>'DA42'!M13</f>
        <v>94.569964196204793</v>
      </c>
      <c r="D11" s="218"/>
      <c r="E11" s="96"/>
      <c r="F11" s="114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</row>
    <row r="12" spans="1:33" x14ac:dyDescent="0.3">
      <c r="A12" s="96"/>
      <c r="B12" s="102">
        <f>'DA42'!L20</f>
        <v>2777</v>
      </c>
      <c r="C12" s="218">
        <f>'DA42'!M20</f>
        <v>94.518512783579396</v>
      </c>
      <c r="D12" s="218"/>
      <c r="E12" s="96"/>
      <c r="F12" s="114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</row>
    <row r="13" spans="1:33" x14ac:dyDescent="0.3">
      <c r="A13" s="96"/>
      <c r="B13" s="102">
        <f>'DA42'!L18</f>
        <v>2777</v>
      </c>
      <c r="C13" s="218">
        <f>'DA42'!M18</f>
        <v>94.518512783579396</v>
      </c>
      <c r="D13" s="218"/>
      <c r="E13" s="96"/>
      <c r="F13" s="114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</row>
    <row r="14" spans="1:33" x14ac:dyDescent="0.3">
      <c r="A14" s="96"/>
      <c r="B14" s="101"/>
      <c r="C14" s="101"/>
      <c r="D14" s="101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</row>
    <row r="15" spans="1:33" x14ac:dyDescent="0.3">
      <c r="A15" s="96"/>
      <c r="B15" s="210" t="s">
        <v>5</v>
      </c>
      <c r="C15" s="211"/>
      <c r="D15" s="212"/>
      <c r="E15" s="96"/>
      <c r="F15" s="113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</row>
    <row r="16" spans="1:33" x14ac:dyDescent="0.3">
      <c r="A16" s="96"/>
      <c r="B16" s="105">
        <f>VLOOKUP('DA42'!J4, Data!F3:J3, 3, FALSE)</f>
        <v>3935</v>
      </c>
      <c r="C16" s="208" t="s">
        <v>11</v>
      </c>
      <c r="D16" s="209"/>
      <c r="E16" s="96"/>
      <c r="F16" s="114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</row>
    <row r="17" spans="1:33" x14ac:dyDescent="0.3">
      <c r="A17" s="96"/>
      <c r="B17" s="105">
        <f>VLOOKUP('DA42'!J4, Data!F3:J3, 2, FALSE)</f>
        <v>2793</v>
      </c>
      <c r="C17" s="208" t="s">
        <v>12</v>
      </c>
      <c r="D17" s="209"/>
      <c r="E17" s="96"/>
      <c r="F17" s="114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</row>
    <row r="18" spans="1:33" x14ac:dyDescent="0.3">
      <c r="A18" s="96"/>
      <c r="B18" s="106">
        <v>66</v>
      </c>
      <c r="C18" s="208" t="s">
        <v>63</v>
      </c>
      <c r="D18" s="209"/>
      <c r="E18" s="96"/>
      <c r="F18" s="114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</row>
    <row r="19" spans="1:33" x14ac:dyDescent="0.3">
      <c r="A19" s="96"/>
      <c r="B19" s="106">
        <v>100</v>
      </c>
      <c r="C19" s="208" t="s">
        <v>64</v>
      </c>
      <c r="D19" s="209"/>
      <c r="E19" s="96"/>
      <c r="F19" s="114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</row>
    <row r="20" spans="1:33" x14ac:dyDescent="0.3">
      <c r="A20" s="96"/>
      <c r="B20" s="105">
        <f>VLOOKUP('DA42'!J4, Data!F3:L3, 7, FALSE)</f>
        <v>52</v>
      </c>
      <c r="C20" s="208" t="s">
        <v>13</v>
      </c>
      <c r="D20" s="209"/>
      <c r="E20" s="96"/>
      <c r="F20" s="114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</row>
    <row r="21" spans="1:33" x14ac:dyDescent="0.3">
      <c r="A21" s="96"/>
      <c r="B21" s="105">
        <f>VLOOKUP('DA42'!J4, Data!F3:N3, 8, FALSE)</f>
        <v>27.4</v>
      </c>
      <c r="C21" s="208" t="s">
        <v>66</v>
      </c>
      <c r="D21" s="209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</row>
    <row r="22" spans="1:33" x14ac:dyDescent="0.3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</row>
    <row r="23" spans="1:33" x14ac:dyDescent="0.3">
      <c r="A23" s="96"/>
      <c r="B23" s="103" t="s">
        <v>28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</row>
    <row r="24" spans="1:33" x14ac:dyDescent="0.3">
      <c r="A24" s="96"/>
      <c r="B24" s="104" t="s">
        <v>43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</row>
    <row r="25" spans="1:33" x14ac:dyDescent="0.3">
      <c r="A25" s="96"/>
      <c r="B25" s="104" t="s">
        <v>26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</row>
    <row r="26" spans="1:33" x14ac:dyDescent="0.3">
      <c r="A26" s="96"/>
      <c r="B26" s="104" t="s">
        <v>27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</row>
    <row r="27" spans="1:33" x14ac:dyDescent="0.3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</row>
    <row r="28" spans="1:33" x14ac:dyDescent="0.3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</row>
    <row r="29" spans="1:33" x14ac:dyDescent="0.3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</row>
    <row r="30" spans="1:33" x14ac:dyDescent="0.3">
      <c r="A30" s="96"/>
      <c r="B30" s="104" t="s">
        <v>36</v>
      </c>
      <c r="C30" s="104" t="b">
        <f>'DA42'!M20&lt;B3</f>
        <v>0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</row>
    <row r="31" spans="1:33" x14ac:dyDescent="0.3">
      <c r="A31" s="96"/>
      <c r="B31" s="104" t="s">
        <v>37</v>
      </c>
      <c r="C31" s="104" t="b">
        <f>OR(AND('DA42'!G20&lt;C6,'DA42'!G20&gt;(C4+(C6-C4)*('DA42'!H20-B4)/(B6-B4))))</f>
        <v>1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</row>
    <row r="32" spans="1:33" x14ac:dyDescent="0.3">
      <c r="A32" s="96"/>
      <c r="B32" s="104" t="s">
        <v>38</v>
      </c>
      <c r="C32" s="104" t="b">
        <f>OR(AND('DA42'!G20&lt;C6,'DA42'!G20&gt;(C6+(C6-C5)*('DA42'!H20-B5)/(B6-B5))))</f>
        <v>1</v>
      </c>
      <c r="D32" s="96"/>
      <c r="E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</row>
    <row r="33" spans="1:33" x14ac:dyDescent="0.3">
      <c r="A33" s="96"/>
      <c r="D33" s="96"/>
      <c r="E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</row>
    <row r="34" spans="1:33" x14ac:dyDescent="0.3">
      <c r="A34" s="96"/>
      <c r="D34" s="96"/>
      <c r="E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</row>
    <row r="35" spans="1:33" x14ac:dyDescent="0.3">
      <c r="A35" s="96"/>
      <c r="B35" s="116" t="s">
        <v>67</v>
      </c>
      <c r="C35" s="116"/>
      <c r="D35" s="96"/>
      <c r="E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</row>
    <row r="36" spans="1:33" x14ac:dyDescent="0.3">
      <c r="A36" s="96"/>
      <c r="B36" s="107">
        <v>93.7</v>
      </c>
      <c r="C36" s="107">
        <v>3637</v>
      </c>
      <c r="D36" s="96"/>
      <c r="E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</row>
    <row r="37" spans="1:33" x14ac:dyDescent="0.3">
      <c r="A37" s="96"/>
      <c r="B37" s="107">
        <v>96.3</v>
      </c>
      <c r="C37" s="107">
        <v>3637</v>
      </c>
      <c r="D37" s="96"/>
      <c r="E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</row>
    <row r="38" spans="1:33" x14ac:dyDescent="0.3">
      <c r="A38" s="96"/>
      <c r="D38" s="96"/>
      <c r="E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</row>
  </sheetData>
  <sheetProtection algorithmName="SHA-512" hashValue="mXljxETgeJKbdCKgAxyxB5nKxAK/9xThLIXoVnAi/oak8TEbYmqMJfp+ZiHcepjXMuIKiYuKCxVh7whzikUiQw==" saltValue="AO4pgXQYXqBK6/Qd7qZi9w==" spinCount="100000" sheet="1" objects="1" scenarios="1" selectLockedCells="1" selectUnlockedCells="1"/>
  <mergeCells count="19">
    <mergeCell ref="C9:D9"/>
    <mergeCell ref="B10:D10"/>
    <mergeCell ref="C11:D11"/>
    <mergeCell ref="C12:D12"/>
    <mergeCell ref="C13:D13"/>
    <mergeCell ref="C7:D7"/>
    <mergeCell ref="C8:D8"/>
    <mergeCell ref="B2:D2"/>
    <mergeCell ref="C3:D3"/>
    <mergeCell ref="C4:D4"/>
    <mergeCell ref="C5:D5"/>
    <mergeCell ref="C6:D6"/>
    <mergeCell ref="C20:D20"/>
    <mergeCell ref="B15:D15"/>
    <mergeCell ref="C19:D19"/>
    <mergeCell ref="C21:D21"/>
    <mergeCell ref="C17:D17"/>
    <mergeCell ref="C18:D18"/>
    <mergeCell ref="C16:D16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DA42</vt:lpstr>
      <vt:lpstr>Changelog</vt:lpstr>
      <vt:lpstr>Data</vt:lpstr>
      <vt:lpstr>idents</vt:lpstr>
      <vt:lpstr>'DA42'!Print_Area</vt:lpstr>
    </vt:vector>
  </TitlesOfParts>
  <Manager/>
  <Company>Pacific Professional Flight Centre</Company>
  <LinksUpToDate>false</LinksUpToDate>
  <SharedDoc>false</SharedDoc>
  <HyperlinkBase>www.proifr.com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Diamond DA-42 Weight &amp; Balance Calculator</dc:title>
  <dc:subject>Weight and Balance Calculator</dc:subject>
  <dc:creator>info@proifr.com</dc:creator>
  <cp:keywords/>
  <dc:description>For use by pilots and students at Pacific Professional Flight Centre</dc:description>
  <cp:lastModifiedBy>admin</cp:lastModifiedBy>
  <cp:lastPrinted>2020-11-02T22:07:19Z</cp:lastPrinted>
  <dcterms:created xsi:type="dcterms:W3CDTF">2020-04-27T03:19:42Z</dcterms:created>
  <dcterms:modified xsi:type="dcterms:W3CDTF">2020-11-02T22:07:48Z</dcterms:modified>
  <cp:contentStatus>Released</cp:contentStatus>
</cp:coreProperties>
</file>