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PPFC\Admin and Dispatch\Electronic W &amp; B\Release Candidate\"/>
    </mc:Choice>
  </mc:AlternateContent>
  <xr:revisionPtr revIDLastSave="0" documentId="13_ncr:1_{DDACE571-27BF-49D8-811A-83A8A63B31B4}" xr6:coauthVersionLast="47" xr6:coauthVersionMax="47" xr10:uidLastSave="{00000000-0000-0000-0000-000000000000}"/>
  <bookViews>
    <workbookView xWindow="34290" yWindow="-110" windowWidth="34620" windowHeight="14620" xr2:uid="{00000000-000D-0000-FFFF-FFFF00000000}"/>
  </bookViews>
  <sheets>
    <sheet name="Seminole" sheetId="1" r:id="rId1"/>
    <sheet name="Changelog" sheetId="3" r:id="rId2"/>
    <sheet name="Data" sheetId="2" state="hidden" r:id="rId3"/>
  </sheets>
  <definedNames>
    <definedName name="idents">Data!$F$3:$F$3</definedName>
    <definedName name="_xlnm.Print_Area" localSheetId="0">Seminole!$B$1:$O$51,Seminole!$D$82:$P$124</definedName>
    <definedName name="Z_19898B3C_F880_11DE_A5CE_0026BB674B30_.wvu.Cols" localSheetId="0" hidden="1">Seminole!$O:$R</definedName>
    <definedName name="Z_19898B3C_F880_11DE_A5CE_0026BB674B30_.wvu.PrintArea" localSheetId="0" hidden="1">Seminole!$B$2:$T$55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5" i="1"/>
  <c r="J21" i="1" l="1"/>
  <c r="J20" i="1"/>
  <c r="B17" i="2" l="1"/>
  <c r="B16" i="2"/>
  <c r="B21" i="2"/>
  <c r="B20" i="2"/>
  <c r="M12" i="1"/>
  <c r="N7" i="1"/>
  <c r="I24" i="1"/>
  <c r="I26" i="1" l="1"/>
  <c r="L12" i="1" l="1"/>
  <c r="N12" i="1" s="1"/>
  <c r="J1" i="1" l="1"/>
  <c r="L10" i="1" l="1"/>
  <c r="N10" i="1" s="1"/>
  <c r="C31" i="2" l="1"/>
  <c r="C32" i="2"/>
  <c r="M16" i="1" l="1"/>
  <c r="M14" i="1"/>
  <c r="M7" i="1"/>
  <c r="L9" i="1" l="1"/>
  <c r="L7" i="1"/>
  <c r="L16" i="1" l="1"/>
  <c r="N16" i="1" s="1"/>
  <c r="N9" i="1"/>
  <c r="L8" i="1"/>
  <c r="N14" i="1"/>
  <c r="L11" i="1" l="1"/>
  <c r="N8" i="1"/>
  <c r="L13" i="1" l="1"/>
  <c r="L15" i="1" s="1"/>
  <c r="B11" i="2"/>
  <c r="N11" i="1"/>
  <c r="N13" i="1" s="1"/>
  <c r="N15" i="1" l="1"/>
  <c r="M13" i="1"/>
  <c r="J18" i="1"/>
  <c r="I18" i="1"/>
  <c r="B13" i="2"/>
  <c r="M11" i="1"/>
  <c r="L17" i="1"/>
  <c r="I23" i="1" s="1"/>
  <c r="M15" i="1" l="1"/>
  <c r="I25" i="1" s="1"/>
  <c r="N17" i="1"/>
  <c r="M17" i="1" s="1"/>
  <c r="B12" i="2"/>
  <c r="C11" i="2"/>
  <c r="C13" i="2" l="1"/>
  <c r="C30" i="2"/>
  <c r="C12" i="2"/>
</calcChain>
</file>

<file path=xl/sharedStrings.xml><?xml version="1.0" encoding="utf-8"?>
<sst xmlns="http://schemas.openxmlformats.org/spreadsheetml/2006/main" count="81" uniqueCount="76">
  <si>
    <t>Qty</t>
  </si>
  <si>
    <t>Weight</t>
  </si>
  <si>
    <t>Arm</t>
  </si>
  <si>
    <t>Moment</t>
  </si>
  <si>
    <t>Basic Empty Weight</t>
  </si>
  <si>
    <t>Aircraft Specifications</t>
  </si>
  <si>
    <t>Fuel Allowance for taxi/runup</t>
  </si>
  <si>
    <t xml:space="preserve"> </t>
  </si>
  <si>
    <t>WB Graph Envelope (Red)</t>
  </si>
  <si>
    <t>Weight and Balance Worksheet</t>
  </si>
  <si>
    <t>WB Moment Graph Points</t>
  </si>
  <si>
    <t>Maximum gross weight</t>
  </si>
  <si>
    <t>Basic empty weight</t>
  </si>
  <si>
    <t>Fuel max gal</t>
  </si>
  <si>
    <t xml:space="preserve"> Trainee's Acknowledgement:</t>
  </si>
  <si>
    <t xml:space="preserve"> Instructor's Name:</t>
  </si>
  <si>
    <t xml:space="preserve"> Flight Instructor's Authorization:</t>
  </si>
  <si>
    <t xml:space="preserve"> Pre-Flight Inspection and Breifing Completed:</t>
  </si>
  <si>
    <t>Student Initials</t>
  </si>
  <si>
    <t>Instructor Initials</t>
  </si>
  <si>
    <t>Flight Authorization</t>
  </si>
  <si>
    <t>!!! Warning Messages !!!</t>
  </si>
  <si>
    <t>Ident</t>
  </si>
  <si>
    <t>Empty Weight</t>
  </si>
  <si>
    <t>Empty Arm</t>
  </si>
  <si>
    <t>Max Fuel</t>
  </si>
  <si>
    <t>Landing</t>
  </si>
  <si>
    <t>Takeoff</t>
  </si>
  <si>
    <t>Chart Label</t>
  </si>
  <si>
    <t>Initials</t>
  </si>
  <si>
    <t>Rear Passenger #1</t>
  </si>
  <si>
    <t>Rear Passenger #2</t>
  </si>
  <si>
    <t>Max Weight</t>
  </si>
  <si>
    <t>Co-Pilot Seat Name</t>
  </si>
  <si>
    <t>Pilot Seat Name</t>
  </si>
  <si>
    <t>Rear Passengers</t>
  </si>
  <si>
    <t>Condition1</t>
  </si>
  <si>
    <t>Condition2</t>
  </si>
  <si>
    <t>Condition3</t>
  </si>
  <si>
    <t xml:space="preserve"> Date:</t>
  </si>
  <si>
    <t>Date</t>
  </si>
  <si>
    <t>Version</t>
  </si>
  <si>
    <t>Changes</t>
  </si>
  <si>
    <t>ZFW</t>
  </si>
  <si>
    <t>W&amp;B Data Calculated at:</t>
  </si>
  <si>
    <t>Both instructor and student acknowledge that this flight will be carried out according to Professional Flight Centre's rules and will obey all Canadian Aviaiton Regualations</t>
  </si>
  <si>
    <t>1. Initial version with up-to-date airplane weight and CG data</t>
  </si>
  <si>
    <t>Empty Moment</t>
  </si>
  <si>
    <t>Following (Non-Editable) Sheet Will be Printed as Second Page</t>
  </si>
  <si>
    <t>Pilot &amp; Co-Pilot</t>
  </si>
  <si>
    <r>
      <t xml:space="preserve">Trip Fuel </t>
    </r>
    <r>
      <rPr>
        <sz val="8"/>
        <color theme="4" tint="-0.249977111117893"/>
        <rFont val="Arial"/>
        <family val="2"/>
      </rPr>
      <t>(US GAL)</t>
    </r>
  </si>
  <si>
    <t>Baggage maximum Cabin and Extension</t>
  </si>
  <si>
    <t>Max Zero Fuel Line</t>
  </si>
  <si>
    <r>
      <t xml:space="preserve">Fuel </t>
    </r>
    <r>
      <rPr>
        <sz val="8"/>
        <color theme="4" tint="-0.249977111117893"/>
        <rFont val="Arial"/>
        <family val="2"/>
      </rPr>
      <t>(US GAL)</t>
    </r>
  </si>
  <si>
    <t>Fuel Arm</t>
  </si>
  <si>
    <t>Min Fuel</t>
  </si>
  <si>
    <t>Baggage maximum</t>
  </si>
  <si>
    <t>Fuel Min gal</t>
  </si>
  <si>
    <t>* The maximum weight 200 lbs including equipmnent and baggage</t>
  </si>
  <si>
    <t>Baggage (200 lbs max)</t>
  </si>
  <si>
    <t>Oil Min</t>
  </si>
  <si>
    <t>Oil Max</t>
  </si>
  <si>
    <t>Aircraft Oil Requirements</t>
  </si>
  <si>
    <t>Minimum (Company Min)</t>
  </si>
  <si>
    <t>Maximum (Based on POH)</t>
  </si>
  <si>
    <t>Piper Seminole</t>
  </si>
  <si>
    <t>C-GILY</t>
  </si>
  <si>
    <t>44.0.0.1</t>
  </si>
  <si>
    <t>5.0 quarts</t>
  </si>
  <si>
    <t>7.0 quarts</t>
  </si>
  <si>
    <t>Landing Weight (3800 lbs MAX)</t>
  </si>
  <si>
    <t>Zero Fuel</t>
  </si>
  <si>
    <t>44.0.0.2</t>
  </si>
  <si>
    <t>1. Weight and Balance data updated</t>
  </si>
  <si>
    <t>44.0.0.3</t>
  </si>
  <si>
    <t>Ver. 44.0.0.3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</si>
</sst>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m/d/yyyy\ hh:mm:ss\ AM/PM"/>
  </numFmts>
  <fonts count="35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10"/>
      <name val="MS Sans Serif"/>
    </font>
    <font>
      <sz val="10"/>
      <name val="Courier New"/>
      <family val="3"/>
    </font>
    <font>
      <sz val="8"/>
      <color indexed="8"/>
      <name val="Arial"/>
      <family val="2"/>
    </font>
    <font>
      <i/>
      <sz val="8"/>
      <color indexed="32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14"/>
      <name val="Arial Black"/>
      <family val="2"/>
    </font>
    <font>
      <sz val="10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4"/>
      <name val="Arial"/>
      <family val="2"/>
    </font>
    <font>
      <sz val="9.5"/>
      <name val="Arial"/>
      <family val="2"/>
    </font>
    <font>
      <i/>
      <sz val="10"/>
      <color theme="0"/>
      <name val="Arial Black"/>
      <family val="2"/>
    </font>
    <font>
      <b/>
      <sz val="10"/>
      <name val="MS Sans Serif"/>
    </font>
    <font>
      <b/>
      <sz val="16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" borderId="18" xfId="0" applyFont="1" applyFill="1" applyBorder="1"/>
    <xf numFmtId="0" fontId="1" fillId="2" borderId="5" xfId="0" applyFont="1" applyFill="1" applyBorder="1"/>
    <xf numFmtId="0" fontId="13" fillId="2" borderId="5" xfId="0" applyFont="1" applyFill="1" applyBorder="1"/>
    <xf numFmtId="0" fontId="1" fillId="2" borderId="4" xfId="0" applyFont="1" applyFill="1" applyBorder="1"/>
    <xf numFmtId="1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1" fillId="2" borderId="14" xfId="0" applyFont="1" applyFill="1" applyBorder="1"/>
    <xf numFmtId="0" fontId="3" fillId="2" borderId="14" xfId="0" applyFont="1" applyFill="1" applyBorder="1" applyAlignment="1">
      <alignment horizontal="right"/>
    </xf>
    <xf numFmtId="0" fontId="1" fillId="2" borderId="8" xfId="0" applyFont="1" applyFill="1" applyBorder="1"/>
    <xf numFmtId="0" fontId="4" fillId="2" borderId="8" xfId="0" applyFont="1" applyFill="1" applyBorder="1"/>
    <xf numFmtId="0" fontId="1" fillId="2" borderId="11" xfId="0" applyFont="1" applyFill="1" applyBorder="1"/>
    <xf numFmtId="2" fontId="1" fillId="2" borderId="0" xfId="0" applyNumberFormat="1" applyFont="1" applyFill="1"/>
    <xf numFmtId="2" fontId="1" fillId="2" borderId="11" xfId="0" applyNumberFormat="1" applyFont="1" applyFill="1" applyBorder="1"/>
    <xf numFmtId="0" fontId="4" fillId="2" borderId="7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5" fillId="2" borderId="12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2" xfId="0" applyFont="1" applyFill="1" applyBorder="1"/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6" xfId="0" applyFont="1" applyFill="1" applyBorder="1"/>
    <xf numFmtId="0" fontId="12" fillId="2" borderId="0" xfId="0" applyFont="1" applyFill="1"/>
    <xf numFmtId="0" fontId="12" fillId="2" borderId="0" xfId="0" quotePrefix="1" applyFont="1" applyFill="1" applyAlignment="1">
      <alignment wrapText="1"/>
    </xf>
    <xf numFmtId="164" fontId="12" fillId="2" borderId="0" xfId="0" applyNumberFormat="1" applyFont="1" applyFill="1"/>
    <xf numFmtId="0" fontId="1" fillId="2" borderId="13" xfId="0" applyFont="1" applyFill="1" applyBorder="1"/>
    <xf numFmtId="0" fontId="12" fillId="2" borderId="13" xfId="0" applyFont="1" applyFill="1" applyBorder="1"/>
    <xf numFmtId="0" fontId="1" fillId="2" borderId="3" xfId="0" applyFont="1" applyFill="1" applyBorder="1"/>
    <xf numFmtId="0" fontId="1" fillId="0" borderId="13" xfId="0" applyFont="1" applyBorder="1"/>
    <xf numFmtId="0" fontId="1" fillId="0" borderId="13" xfId="0" applyFont="1" applyBorder="1" applyAlignment="1">
      <alignment horizontal="right"/>
    </xf>
    <xf numFmtId="0" fontId="13" fillId="2" borderId="0" xfId="0" applyFont="1" applyFill="1"/>
    <xf numFmtId="0" fontId="1" fillId="2" borderId="1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" fontId="10" fillId="2" borderId="13" xfId="0" applyNumberFormat="1" applyFont="1" applyFill="1" applyBorder="1"/>
    <xf numFmtId="0" fontId="3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1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32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0" fontId="1" fillId="3" borderId="14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2" fontId="1" fillId="3" borderId="14" xfId="0" applyNumberFormat="1" applyFont="1" applyFill="1" applyBorder="1"/>
    <xf numFmtId="0" fontId="15" fillId="3" borderId="14" xfId="0" applyFont="1" applyFill="1" applyBorder="1"/>
    <xf numFmtId="164" fontId="15" fillId="3" borderId="14" xfId="0" applyNumberFormat="1" applyFont="1" applyFill="1" applyBorder="1"/>
    <xf numFmtId="0" fontId="32" fillId="2" borderId="0" xfId="0" applyFont="1" applyFill="1" applyAlignment="1">
      <alignment horizontal="left" vertical="center"/>
    </xf>
    <xf numFmtId="166" fontId="1" fillId="0" borderId="13" xfId="0" applyNumberFormat="1" applyFont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15" fontId="0" fillId="0" borderId="0" xfId="0" applyNumberFormat="1"/>
    <xf numFmtId="0" fontId="33" fillId="0" borderId="0" xfId="0" applyFont="1"/>
    <xf numFmtId="0" fontId="33" fillId="0" borderId="14" xfId="0" applyFont="1" applyBorder="1"/>
    <xf numFmtId="0" fontId="0" fillId="0" borderId="14" xfId="0" applyBorder="1"/>
    <xf numFmtId="0" fontId="17" fillId="0" borderId="0" xfId="0" applyFont="1"/>
    <xf numFmtId="0" fontId="17" fillId="0" borderId="14" xfId="0" applyFont="1" applyBorder="1"/>
    <xf numFmtId="164" fontId="17" fillId="0" borderId="14" xfId="0" applyNumberFormat="1" applyFont="1" applyBorder="1"/>
    <xf numFmtId="1" fontId="17" fillId="0" borderId="14" xfId="0" applyNumberFormat="1" applyFont="1" applyBorder="1"/>
    <xf numFmtId="4" fontId="1" fillId="3" borderId="14" xfId="0" applyNumberFormat="1" applyFont="1" applyFill="1" applyBorder="1"/>
    <xf numFmtId="164" fontId="18" fillId="0" borderId="14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34" fillId="3" borderId="21" xfId="0" applyFont="1" applyFill="1" applyBorder="1" applyAlignment="1">
      <alignment horizontal="center" vertical="center"/>
    </xf>
    <xf numFmtId="0" fontId="12" fillId="0" borderId="0" xfId="0" applyFont="1"/>
    <xf numFmtId="2" fontId="14" fillId="3" borderId="14" xfId="0" applyNumberFormat="1" applyFont="1" applyFill="1" applyBorder="1"/>
    <xf numFmtId="2" fontId="3" fillId="3" borderId="14" xfId="0" applyNumberFormat="1" applyFont="1" applyFill="1" applyBorder="1"/>
    <xf numFmtId="4" fontId="14" fillId="3" borderId="14" xfId="0" applyNumberFormat="1" applyFont="1" applyFill="1" applyBorder="1"/>
    <xf numFmtId="2" fontId="15" fillId="3" borderId="14" xfId="0" applyNumberFormat="1" applyFont="1" applyFill="1" applyBorder="1"/>
    <xf numFmtId="4" fontId="3" fillId="3" borderId="14" xfId="0" applyNumberFormat="1" applyFont="1" applyFill="1" applyBorder="1"/>
    <xf numFmtId="4" fontId="15" fillId="3" borderId="14" xfId="0" applyNumberFormat="1" applyFont="1" applyFill="1" applyBorder="1"/>
    <xf numFmtId="0" fontId="1" fillId="2" borderId="10" xfId="0" applyFont="1" applyFill="1" applyBorder="1"/>
    <xf numFmtId="0" fontId="3" fillId="2" borderId="14" xfId="0" applyFont="1" applyFill="1" applyBorder="1" applyAlignment="1">
      <alignment horizontal="center" vertical="center"/>
    </xf>
    <xf numFmtId="165" fontId="1" fillId="2" borderId="9" xfId="0" applyNumberFormat="1" applyFont="1" applyFill="1" applyBorder="1"/>
    <xf numFmtId="165" fontId="1" fillId="2" borderId="10" xfId="0" applyNumberFormat="1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1" fillId="2" borderId="7" xfId="0" applyFont="1" applyFill="1" applyBorder="1"/>
    <xf numFmtId="0" fontId="1" fillId="2" borderId="12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2" borderId="14" xfId="0" applyFont="1" applyFill="1" applyBorder="1" applyAlignment="1">
      <alignment horizontal="left"/>
    </xf>
    <xf numFmtId="0" fontId="22" fillId="3" borderId="15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" fillId="0" borderId="7" xfId="0" applyFont="1" applyBorder="1"/>
    <xf numFmtId="0" fontId="1" fillId="0" borderId="12" xfId="0" applyFont="1" applyBorder="1"/>
    <xf numFmtId="0" fontId="19" fillId="3" borderId="15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3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5" fillId="3" borderId="15" xfId="0" applyFont="1" applyFill="1" applyBorder="1"/>
    <xf numFmtId="0" fontId="15" fillId="3" borderId="17" xfId="0" applyFont="1" applyFill="1" applyBorder="1"/>
    <xf numFmtId="0" fontId="32" fillId="2" borderId="0" xfId="0" applyFont="1" applyFill="1" applyAlignment="1">
      <alignment horizontal="left" vertical="center"/>
    </xf>
    <xf numFmtId="0" fontId="1" fillId="3" borderId="15" xfId="0" applyFont="1" applyFill="1" applyBorder="1"/>
    <xf numFmtId="0" fontId="1" fillId="3" borderId="17" xfId="0" applyFont="1" applyFill="1" applyBorder="1"/>
    <xf numFmtId="1" fontId="15" fillId="2" borderId="15" xfId="0" applyNumberFormat="1" applyFont="1" applyFill="1" applyBorder="1" applyProtection="1">
      <protection locked="0"/>
    </xf>
    <xf numFmtId="1" fontId="15" fillId="2" borderId="17" xfId="0" applyNumberFormat="1" applyFont="1" applyFill="1" applyBorder="1" applyProtection="1">
      <protection locked="0"/>
    </xf>
    <xf numFmtId="0" fontId="14" fillId="3" borderId="15" xfId="0" applyFont="1" applyFill="1" applyBorder="1"/>
    <xf numFmtId="0" fontId="14" fillId="3" borderId="1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14" xfId="0" applyFont="1" applyBorder="1"/>
    <xf numFmtId="0" fontId="17" fillId="0" borderId="15" xfId="0" quotePrefix="1" applyFont="1" applyBorder="1" applyAlignment="1">
      <alignment horizontal="center"/>
    </xf>
    <xf numFmtId="0" fontId="17" fillId="0" borderId="17" xfId="0" quotePrefix="1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8167045563703"/>
          <c:y val="4.4655387076474179E-2"/>
          <c:w val="0.82596918926707452"/>
          <c:h val="0.82329018610930227"/>
        </c:manualLayout>
      </c:layout>
      <c:scatterChart>
        <c:scatterStyle val="lineMarker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Data!$B$3:$B$9</c:f>
              <c:numCache>
                <c:formatCode>0.0</c:formatCode>
                <c:ptCount val="7"/>
                <c:pt idx="0">
                  <c:v>84</c:v>
                </c:pt>
                <c:pt idx="1">
                  <c:v>84</c:v>
                </c:pt>
                <c:pt idx="2">
                  <c:v>85</c:v>
                </c:pt>
                <c:pt idx="3">
                  <c:v>89</c:v>
                </c:pt>
                <c:pt idx="4">
                  <c:v>93</c:v>
                </c:pt>
                <c:pt idx="5" formatCode="0.00">
                  <c:v>93</c:v>
                </c:pt>
                <c:pt idx="6">
                  <c:v>84</c:v>
                </c:pt>
              </c:numCache>
            </c:numRef>
          </c:xVal>
          <c:yVal>
            <c:numRef>
              <c:f>Data!$C$3:$C$9</c:f>
              <c:numCache>
                <c:formatCode>General</c:formatCode>
                <c:ptCount val="7"/>
                <c:pt idx="0">
                  <c:v>2300</c:v>
                </c:pt>
                <c:pt idx="1">
                  <c:v>2800</c:v>
                </c:pt>
                <c:pt idx="2">
                  <c:v>3400</c:v>
                </c:pt>
                <c:pt idx="3">
                  <c:v>3800</c:v>
                </c:pt>
                <c:pt idx="4">
                  <c:v>3800</c:v>
                </c:pt>
                <c:pt idx="5">
                  <c:v>2300</c:v>
                </c:pt>
                <c:pt idx="6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D-704A-855B-33EC7CE5A4F9}"/>
            </c:ext>
          </c:extLst>
        </c:ser>
        <c:ser>
          <c:idx val="1"/>
          <c:order val="1"/>
          <c:tx>
            <c:v>WB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AD2EDB7-6CBB-4B5F-A64A-8879B0AAB23B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E-4945-A23D-1C0DBB3449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BC24E30-9E4B-43D1-91F1-3927B850D5AD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DE-4945-A23D-1C0DBB3449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29D5BF-D6D1-46EA-B6CB-88EC39882A77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B7-4AFD-BE92-2F874AFF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Data!$C$11:$C$13</c:f>
              <c:numCache>
                <c:formatCode>General</c:formatCode>
                <c:ptCount val="3"/>
                <c:pt idx="0">
                  <c:v>86.797668581376413</c:v>
                </c:pt>
                <c:pt idx="1">
                  <c:v>86.748132546719361</c:v>
                </c:pt>
                <c:pt idx="2">
                  <c:v>86.748132546719361</c:v>
                </c:pt>
              </c:numCache>
            </c:numRef>
          </c:xVal>
          <c:yVal>
            <c:numRef>
              <c:f>Data!$B$11:$B$13</c:f>
              <c:numCache>
                <c:formatCode>General</c:formatCode>
                <c:ptCount val="3"/>
                <c:pt idx="0">
                  <c:v>2665.33</c:v>
                </c:pt>
                <c:pt idx="1">
                  <c:v>2649.33</c:v>
                </c:pt>
                <c:pt idx="2">
                  <c:v>2649.33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Data!$B$24:$B$26</c15:f>
                <c15:dlblRangeCache>
                  <c:ptCount val="3"/>
                  <c:pt idx="0">
                    <c:v>ZFW</c:v>
                  </c:pt>
                  <c:pt idx="1">
                    <c:v>Landing</c:v>
                  </c:pt>
                  <c:pt idx="2">
                    <c:v>Takeoff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BD-704A-855B-33EC7CE5A4F9}"/>
            </c:ext>
          </c:extLst>
        </c:ser>
        <c:ser>
          <c:idx val="3"/>
          <c:order val="6"/>
          <c:tx>
            <c:v>Max Zero Fuel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Data!$B$36:$B$37</c:f>
              <c:numCache>
                <c:formatCode>General</c:formatCode>
                <c:ptCount val="2"/>
                <c:pt idx="0">
                  <c:v>108</c:v>
                </c:pt>
                <c:pt idx="1">
                  <c:v>117.5</c:v>
                </c:pt>
              </c:numCache>
            </c:numRef>
          </c:xVal>
          <c:yVal>
            <c:numRef>
              <c:f>Data!$C$36:$C$37</c:f>
              <c:numCache>
                <c:formatCode>General</c:formatCode>
                <c:ptCount val="2"/>
                <c:pt idx="0">
                  <c:v>3500</c:v>
                </c:pt>
                <c:pt idx="1">
                  <c:v>3500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BD-4372-B5D5-8F7BCD895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516127"/>
        <c:axId val="1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v>Baggage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Seminole!$P$26:$P$26</c15:sqref>
                        </c15:formulaRef>
                      </c:ext>
                    </c:extLst>
                    <c:numCache>
                      <c:formatCode>0.0</c:formatCode>
                      <c:ptCount val="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Seminole!$O$26:$O$26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2BD-704A-855B-33EC7CE5A4F9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v>Fuel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BD-704A-855B-33EC7CE5A4F9}"/>
                  </c:ext>
                </c:extLst>
              </c15:ser>
            </c15:filteredScatterSeries>
            <c15:filteredScatterSeries>
              <c15:ser>
                <c:idx val="7"/>
                <c:order val="4"/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Seminole!$O$34:$O$39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Seminole!$Q$34:$Q$39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BD-704A-855B-33EC7CE5A4F9}"/>
                  </c:ext>
                </c:extLst>
              </c15:ser>
            </c15:filteredScatterSeries>
            <c15:filteredScatterSeries>
              <c15:ser>
                <c:idx val="2"/>
                <c:order val="5"/>
                <c:tx>
                  <c:v>Utility</c:v>
                </c:tx>
                <c:spPr>
                  <a:ln w="19050" cap="rnd">
                    <a:solidFill>
                      <a:schemeClr val="accent3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BC1-4166-A481-625274E1327E}"/>
                  </c:ext>
                </c:extLst>
              </c15:ser>
            </c15:filteredScatterSeries>
          </c:ext>
        </c:extLst>
      </c:scatterChart>
      <c:valAx>
        <c:axId val="1336516127"/>
        <c:scaling>
          <c:orientation val="minMax"/>
          <c:max val="94"/>
          <c:min val="8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7186154042175179"/>
              <c:y val="0.937729410227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cross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1000"/>
        <c:crossBetween val="midCat"/>
        <c:minorUnit val="0.5"/>
      </c:valAx>
      <c:valAx>
        <c:axId val="1"/>
        <c:scaling>
          <c:orientation val="minMax"/>
          <c:max val="3900"/>
          <c:min val="2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9.5732205180749895E-3"/>
              <c:y val="0.35269608561281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516127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43962</xdr:colOff>
      <xdr:row>5</xdr:row>
      <xdr:rowOff>86589</xdr:rowOff>
    </xdr:from>
    <xdr:to>
      <xdr:col>7</xdr:col>
      <xdr:colOff>1186960</xdr:colOff>
      <xdr:row>37</xdr:row>
      <xdr:rowOff>95250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402980</xdr:colOff>
      <xdr:row>7</xdr:row>
      <xdr:rowOff>14655</xdr:rowOff>
    </xdr:from>
    <xdr:ext cx="1384789" cy="145617"/>
    <xdr:sp macro="" textlink="">
      <xdr:nvSpPr>
        <xdr:cNvPr id="1106" name="Text Box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216518" y="1384790"/>
          <a:ext cx="1384789" cy="145617"/>
        </a:xfrm>
        <a:prstGeom prst="rect">
          <a:avLst/>
        </a:prstGeom>
        <a:solidFill>
          <a:schemeClr val="bg1">
            <a:alpha val="0"/>
          </a:schemeClr>
        </a:solidFill>
        <a:ln w="9525">
          <a:noFill/>
          <a:miter lim="800000"/>
          <a:headEnd/>
          <a:tailEnd/>
        </a:ln>
      </xdr:spPr>
      <xdr:txBody>
        <a:bodyPr wrap="squar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64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Max Take-Off and Landing</a:t>
          </a:r>
        </a:p>
      </xdr:txBody>
    </xdr:sp>
    <xdr:clientData/>
  </xdr:oneCellAnchor>
  <xdr:twoCellAnchor>
    <xdr:from>
      <xdr:col>15</xdr:col>
      <xdr:colOff>61799</xdr:colOff>
      <xdr:row>2</xdr:row>
      <xdr:rowOff>59252</xdr:rowOff>
    </xdr:from>
    <xdr:to>
      <xdr:col>16</xdr:col>
      <xdr:colOff>1071339</xdr:colOff>
      <xdr:row>5</xdr:row>
      <xdr:rowOff>712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813417" y="440252"/>
          <a:ext cx="1771540" cy="60647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1 </a:t>
          </a:r>
          <a:r>
            <a:rPr lang="en-CA" sz="1100"/>
            <a:t>- Pick Aircraft Ident</a:t>
          </a:r>
        </a:p>
      </xdr:txBody>
    </xdr:sp>
    <xdr:clientData/>
  </xdr:twoCellAnchor>
  <xdr:twoCellAnchor>
    <xdr:from>
      <xdr:col>15</xdr:col>
      <xdr:colOff>122786</xdr:colOff>
      <xdr:row>6</xdr:row>
      <xdr:rowOff>2474</xdr:rowOff>
    </xdr:from>
    <xdr:to>
      <xdr:col>16</xdr:col>
      <xdr:colOff>1149450</xdr:colOff>
      <xdr:row>8</xdr:row>
      <xdr:rowOff>156575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74404" y="1207819"/>
          <a:ext cx="1788664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2 </a:t>
          </a:r>
          <a:r>
            <a:rPr lang="en-CA" sz="1100"/>
            <a:t>- Enter</a:t>
          </a:r>
          <a:r>
            <a:rPr lang="en-CA" sz="1100" baseline="0"/>
            <a:t> Weight Data</a:t>
          </a:r>
          <a:endParaRPr lang="en-CA" sz="1100"/>
        </a:p>
      </xdr:txBody>
    </xdr:sp>
    <xdr:clientData/>
  </xdr:twoCellAnchor>
  <xdr:twoCellAnchor editAs="oneCell">
    <xdr:from>
      <xdr:col>3</xdr:col>
      <xdr:colOff>7748</xdr:colOff>
      <xdr:row>1</xdr:row>
      <xdr:rowOff>128534</xdr:rowOff>
    </xdr:from>
    <xdr:to>
      <xdr:col>7</xdr:col>
      <xdr:colOff>209717</xdr:colOff>
      <xdr:row>4</xdr:row>
      <xdr:rowOff>147871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344" y="289726"/>
          <a:ext cx="2927585" cy="744703"/>
        </a:xfrm>
        <a:prstGeom prst="rect">
          <a:avLst/>
        </a:prstGeom>
      </xdr:spPr>
    </xdr:pic>
    <xdr:clientData/>
  </xdr:twoCellAnchor>
  <xdr:twoCellAnchor>
    <xdr:from>
      <xdr:col>15</xdr:col>
      <xdr:colOff>158371</xdr:colOff>
      <xdr:row>17</xdr:row>
      <xdr:rowOff>19110</xdr:rowOff>
    </xdr:from>
    <xdr:to>
      <xdr:col>16</xdr:col>
      <xdr:colOff>983434</xdr:colOff>
      <xdr:row>23</xdr:row>
      <xdr:rowOff>13884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7909989" y="2977055"/>
          <a:ext cx="1587063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3 </a:t>
          </a:r>
          <a:r>
            <a:rPr lang="en-CA" sz="1100"/>
            <a:t>- Check</a:t>
          </a:r>
          <a:r>
            <a:rPr lang="en-CA" sz="1100" baseline="0"/>
            <a:t> for Errors</a:t>
          </a:r>
          <a:endParaRPr lang="en-CA" sz="1100"/>
        </a:p>
      </xdr:txBody>
    </xdr:sp>
    <xdr:clientData/>
  </xdr:twoCellAnchor>
  <xdr:twoCellAnchor>
    <xdr:from>
      <xdr:col>15</xdr:col>
      <xdr:colOff>108864</xdr:colOff>
      <xdr:row>46</xdr:row>
      <xdr:rowOff>116569</xdr:rowOff>
    </xdr:from>
    <xdr:to>
      <xdr:col>17</xdr:col>
      <xdr:colOff>115171</xdr:colOff>
      <xdr:row>49</xdr:row>
      <xdr:rowOff>104057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518573" y="6344187"/>
          <a:ext cx="1828180" cy="403125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4 </a:t>
          </a:r>
          <a:r>
            <a:rPr lang="en-CA" sz="1100"/>
            <a:t>- Print and</a:t>
          </a:r>
          <a:r>
            <a:rPr lang="en-CA" sz="1100" baseline="0"/>
            <a:t> Sign</a:t>
          </a:r>
          <a:endParaRPr lang="en-CA" sz="1100"/>
        </a:p>
      </xdr:txBody>
    </xdr:sp>
    <xdr:clientData/>
  </xdr:twoCellAnchor>
  <xdr:twoCellAnchor editAs="oneCell">
    <xdr:from>
      <xdr:col>3</xdr:col>
      <xdr:colOff>21176</xdr:colOff>
      <xdr:row>81</xdr:row>
      <xdr:rowOff>58210</xdr:rowOff>
    </xdr:from>
    <xdr:to>
      <xdr:col>16</xdr:col>
      <xdr:colOff>11214</xdr:colOff>
      <xdr:row>124</xdr:row>
      <xdr:rowOff>10584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3A056F-9886-BF47-6318-BCDB8904D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7051" y="12255502"/>
          <a:ext cx="9335121" cy="677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89"/>
  <sheetViews>
    <sheetView tabSelected="1" showOutlineSymbols="0" zoomScale="120" zoomScaleNormal="120" workbookViewId="0">
      <selection activeCell="J4" sqref="J4:N4"/>
    </sheetView>
  </sheetViews>
  <sheetFormatPr defaultColWidth="9.1796875" defaultRowHeight="12.75" customHeight="1" x14ac:dyDescent="0.2"/>
  <cols>
    <col min="1" max="1" width="1.453125" style="1" customWidth="1"/>
    <col min="2" max="2" width="6.1796875" style="1" customWidth="1"/>
    <col min="3" max="3" width="10.7265625" style="1" customWidth="1"/>
    <col min="4" max="4" width="4.81640625" style="1" customWidth="1"/>
    <col min="5" max="5" width="19" style="1" customWidth="1"/>
    <col min="6" max="6" width="6.26953125" style="1" customWidth="1"/>
    <col min="7" max="7" width="10.7265625" style="1" customWidth="1"/>
    <col min="8" max="8" width="19" style="1" customWidth="1"/>
    <col min="9" max="9" width="25.26953125" style="1" customWidth="1"/>
    <col min="10" max="10" width="2.1796875" style="1" customWidth="1"/>
    <col min="11" max="11" width="5.453125" style="1" customWidth="1"/>
    <col min="12" max="12" width="7.7265625" style="1" customWidth="1"/>
    <col min="13" max="13" width="7" style="1" customWidth="1"/>
    <col min="14" max="14" width="11.7265625" style="1" customWidth="1"/>
    <col min="15" max="15" width="3.26953125" style="1" customWidth="1"/>
    <col min="16" max="16" width="11.1796875" style="1" customWidth="1"/>
    <col min="17" max="17" width="15.453125" style="1" customWidth="1"/>
    <col min="18" max="18" width="2" style="1" customWidth="1"/>
    <col min="19" max="19" width="0.7265625" style="1" customWidth="1"/>
    <col min="20" max="20" width="10.81640625" style="1" customWidth="1"/>
    <col min="21" max="21" width="2.81640625" style="1" customWidth="1"/>
    <col min="22" max="23" width="9.1796875" style="1"/>
    <col min="24" max="24" width="26.1796875" style="1" customWidth="1"/>
    <col min="25" max="16384" width="9.1796875" style="1"/>
  </cols>
  <sheetData>
    <row r="1" spans="1:26" ht="12.75" customHeight="1" thickBot="1" x14ac:dyDescent="0.25">
      <c r="A1" s="9"/>
      <c r="B1" s="67"/>
      <c r="C1" s="76"/>
      <c r="D1" s="76"/>
      <c r="E1" s="76"/>
      <c r="F1" s="76"/>
      <c r="G1" s="76"/>
      <c r="H1" s="37"/>
      <c r="I1" s="38" t="s">
        <v>44</v>
      </c>
      <c r="J1" s="112">
        <f ca="1">NOW() + SUM(J8:K16)*0</f>
        <v>45359.370058564811</v>
      </c>
      <c r="K1" s="112"/>
      <c r="L1" s="112"/>
      <c r="M1" s="112"/>
      <c r="N1" s="38" t="s">
        <v>75</v>
      </c>
    </row>
    <row r="2" spans="1:26" ht="17.5" customHeight="1" x14ac:dyDescent="0.3">
      <c r="A2" s="9"/>
      <c r="B2" s="4"/>
      <c r="C2" s="9"/>
      <c r="D2" s="9"/>
      <c r="E2" s="9"/>
      <c r="F2" s="9"/>
      <c r="G2" s="9"/>
      <c r="H2" s="9"/>
      <c r="I2" s="133" t="s">
        <v>9</v>
      </c>
      <c r="J2" s="133"/>
      <c r="K2" s="133"/>
      <c r="L2" s="133"/>
      <c r="M2" s="133"/>
      <c r="N2" s="133"/>
      <c r="O2" s="28"/>
      <c r="P2" s="27"/>
      <c r="Q2" s="27"/>
      <c r="R2" s="27"/>
      <c r="S2" s="28"/>
      <c r="T2" s="2"/>
    </row>
    <row r="3" spans="1:26" ht="15.75" customHeight="1" thickBot="1" x14ac:dyDescent="0.35">
      <c r="A3" s="9"/>
      <c r="B3" s="5"/>
      <c r="C3" s="9"/>
      <c r="D3" s="9"/>
      <c r="E3" s="9"/>
      <c r="F3" s="9"/>
      <c r="G3" s="9"/>
      <c r="H3" s="9"/>
      <c r="I3" s="134"/>
      <c r="J3" s="134"/>
      <c r="K3" s="134"/>
      <c r="L3" s="134"/>
      <c r="M3" s="134"/>
      <c r="N3" s="134"/>
      <c r="O3" s="30"/>
      <c r="P3" s="29"/>
      <c r="Q3" s="29"/>
      <c r="R3" s="29"/>
      <c r="S3" s="30"/>
      <c r="T3" s="2"/>
    </row>
    <row r="4" spans="1:26" ht="24" customHeight="1" thickBot="1" x14ac:dyDescent="0.35">
      <c r="A4" s="9"/>
      <c r="B4" s="5"/>
      <c r="C4" s="9"/>
      <c r="D4" s="9"/>
      <c r="E4" s="9"/>
      <c r="F4" s="9"/>
      <c r="G4" s="9"/>
      <c r="H4" s="9"/>
      <c r="I4" s="89" t="s">
        <v>65</v>
      </c>
      <c r="J4" s="115" t="s">
        <v>66</v>
      </c>
      <c r="K4" s="116"/>
      <c r="L4" s="116"/>
      <c r="M4" s="116"/>
      <c r="N4" s="117"/>
      <c r="O4" s="30"/>
      <c r="P4" s="9"/>
      <c r="Q4" s="9"/>
      <c r="R4" s="9"/>
      <c r="S4" s="30"/>
      <c r="T4" s="2"/>
    </row>
    <row r="5" spans="1:26" ht="12.75" customHeight="1" x14ac:dyDescent="0.2">
      <c r="A5" s="9"/>
      <c r="B5" s="5"/>
      <c r="C5" s="9"/>
      <c r="D5" s="9"/>
      <c r="E5" s="9"/>
      <c r="F5" s="9"/>
      <c r="G5" s="9"/>
      <c r="H5" s="9"/>
      <c r="I5" s="10"/>
      <c r="J5" s="10"/>
      <c r="K5" s="10"/>
      <c r="L5" s="9"/>
      <c r="M5" s="10"/>
      <c r="N5" s="11"/>
      <c r="O5" s="30"/>
      <c r="P5" s="9"/>
      <c r="Q5" s="9"/>
      <c r="R5" s="9"/>
      <c r="S5" s="30"/>
    </row>
    <row r="6" spans="1:26" ht="12.75" customHeight="1" x14ac:dyDescent="0.25">
      <c r="A6" s="9"/>
      <c r="B6" s="5"/>
      <c r="C6" s="9"/>
      <c r="D6" s="9"/>
      <c r="E6" s="9"/>
      <c r="F6" s="9"/>
      <c r="G6" s="9"/>
      <c r="H6" s="9"/>
      <c r="I6" s="12"/>
      <c r="J6" s="113" t="s">
        <v>0</v>
      </c>
      <c r="K6" s="114"/>
      <c r="L6" s="13" t="s">
        <v>1</v>
      </c>
      <c r="M6" s="13" t="s">
        <v>2</v>
      </c>
      <c r="N6" s="13" t="s">
        <v>3</v>
      </c>
      <c r="O6" s="30"/>
      <c r="P6" s="9"/>
      <c r="Q6" s="9"/>
      <c r="R6" s="9"/>
      <c r="S6" s="30"/>
    </row>
    <row r="7" spans="1:26" ht="12.75" customHeight="1" x14ac:dyDescent="0.25">
      <c r="A7" s="9"/>
      <c r="B7" s="5"/>
      <c r="C7" s="9"/>
      <c r="D7" s="9"/>
      <c r="E7" s="9"/>
      <c r="F7" s="9"/>
      <c r="G7" s="9"/>
      <c r="H7" s="9"/>
      <c r="I7" s="68" t="s">
        <v>4</v>
      </c>
      <c r="J7" s="151"/>
      <c r="K7" s="152"/>
      <c r="L7" s="72">
        <f>VLOOKUP(J4,Data!F3:J3,2,FALSE)</f>
        <v>2665.33</v>
      </c>
      <c r="M7" s="72">
        <f>VLOOKUP(J4,Data!F3:J3,4,FALSE)</f>
        <v>86.8</v>
      </c>
      <c r="N7" s="86">
        <f>VLOOKUP(J4,Data!F3:M3,8,FALSE)</f>
        <v>231344.43</v>
      </c>
      <c r="O7" s="30"/>
      <c r="P7" s="9"/>
      <c r="Q7" s="9"/>
      <c r="R7" s="9"/>
      <c r="S7" s="30"/>
      <c r="Y7" s="50"/>
      <c r="Z7" s="50"/>
    </row>
    <row r="8" spans="1:26" ht="12.75" customHeight="1" x14ac:dyDescent="0.3">
      <c r="A8" s="9"/>
      <c r="B8" s="5"/>
      <c r="C8" s="9"/>
      <c r="D8" s="9"/>
      <c r="E8" s="9"/>
      <c r="F8" s="9"/>
      <c r="G8" s="9"/>
      <c r="H8" s="9"/>
      <c r="I8" s="69" t="s">
        <v>49</v>
      </c>
      <c r="J8" s="153">
        <v>0</v>
      </c>
      <c r="K8" s="154"/>
      <c r="L8" s="73">
        <f>J8</f>
        <v>0</v>
      </c>
      <c r="M8" s="94">
        <v>80.5</v>
      </c>
      <c r="N8" s="96">
        <f t="shared" ref="N8:N14" si="0">L8*M8</f>
        <v>0</v>
      </c>
      <c r="O8" s="30"/>
      <c r="P8" s="9"/>
      <c r="Q8" s="9"/>
      <c r="R8" s="9"/>
      <c r="S8" s="30"/>
      <c r="T8"/>
      <c r="Y8" s="51"/>
      <c r="Z8" s="52"/>
    </row>
    <row r="9" spans="1:26" ht="12.75" customHeight="1" x14ac:dyDescent="0.3">
      <c r="A9" s="9"/>
      <c r="B9" s="5"/>
      <c r="C9" s="9"/>
      <c r="D9" s="9"/>
      <c r="E9" s="9"/>
      <c r="F9" s="9"/>
      <c r="G9" s="9"/>
      <c r="H9" s="9"/>
      <c r="I9" s="69" t="s">
        <v>35</v>
      </c>
      <c r="J9" s="135">
        <v>0</v>
      </c>
      <c r="K9" s="136"/>
      <c r="L9" s="73">
        <f>J9</f>
        <v>0</v>
      </c>
      <c r="M9" s="94">
        <v>118.1</v>
      </c>
      <c r="N9" s="96">
        <f t="shared" si="0"/>
        <v>0</v>
      </c>
      <c r="O9" s="30"/>
      <c r="P9" s="9"/>
      <c r="Q9" s="9"/>
      <c r="R9" s="9"/>
      <c r="S9" s="30"/>
      <c r="T9"/>
      <c r="Y9" s="51"/>
      <c r="Z9" s="52"/>
    </row>
    <row r="10" spans="1:26" ht="12.75" customHeight="1" x14ac:dyDescent="0.3">
      <c r="A10" s="9"/>
      <c r="B10" s="5"/>
      <c r="C10" s="9"/>
      <c r="D10" s="9"/>
      <c r="E10" s="9"/>
      <c r="F10" s="9"/>
      <c r="G10" s="9"/>
      <c r="H10" s="9"/>
      <c r="I10" s="69" t="s">
        <v>59</v>
      </c>
      <c r="J10" s="135">
        <v>0</v>
      </c>
      <c r="K10" s="136"/>
      <c r="L10" s="73">
        <f>J10</f>
        <v>0</v>
      </c>
      <c r="M10" s="94">
        <v>142.80000000000001</v>
      </c>
      <c r="N10" s="96">
        <f>L10*M10</f>
        <v>0</v>
      </c>
      <c r="O10" s="30"/>
      <c r="P10" s="9"/>
      <c r="Q10" s="9"/>
      <c r="R10" s="9"/>
      <c r="S10" s="30"/>
      <c r="T10"/>
      <c r="Y10" s="51"/>
      <c r="Z10" s="52"/>
    </row>
    <row r="11" spans="1:26" ht="12.75" customHeight="1" x14ac:dyDescent="0.3">
      <c r="A11" s="9"/>
      <c r="B11" s="5"/>
      <c r="C11" s="9"/>
      <c r="D11" s="9"/>
      <c r="E11" s="9"/>
      <c r="F11" s="9"/>
      <c r="G11" s="9"/>
      <c r="H11" s="9"/>
      <c r="I11" s="70" t="s">
        <v>71</v>
      </c>
      <c r="J11" s="155"/>
      <c r="K11" s="156"/>
      <c r="L11" s="91">
        <f>SUM(L7:L10)</f>
        <v>2665.33</v>
      </c>
      <c r="M11" s="91">
        <f>N11/L11</f>
        <v>86.797668581376413</v>
      </c>
      <c r="N11" s="93">
        <f>SUM(N7:N10)</f>
        <v>231344.43</v>
      </c>
      <c r="O11" s="30"/>
      <c r="P11" s="31"/>
      <c r="Q11" s="32"/>
      <c r="R11" s="31"/>
      <c r="S11" s="30"/>
      <c r="T11"/>
    </row>
    <row r="12" spans="1:26" ht="12.75" customHeight="1" x14ac:dyDescent="0.3">
      <c r="A12" s="9"/>
      <c r="B12" s="5"/>
      <c r="C12" s="9"/>
      <c r="D12" s="9"/>
      <c r="E12" s="9"/>
      <c r="F12" s="9"/>
      <c r="G12" s="9"/>
      <c r="H12" s="9"/>
      <c r="I12" s="69" t="s">
        <v>53</v>
      </c>
      <c r="J12" s="135">
        <v>0</v>
      </c>
      <c r="K12" s="136"/>
      <c r="L12" s="73">
        <f>J12*6</f>
        <v>0</v>
      </c>
      <c r="M12" s="94">
        <f>VLOOKUP(J4,Data!F3:M3,5,FALSE)</f>
        <v>95</v>
      </c>
      <c r="N12" s="96">
        <f t="shared" si="0"/>
        <v>0</v>
      </c>
      <c r="O12" s="30"/>
      <c r="P12" s="31"/>
      <c r="Q12" s="32"/>
      <c r="R12" s="31"/>
      <c r="S12" s="30"/>
      <c r="T12"/>
    </row>
    <row r="13" spans="1:26" ht="12.75" customHeight="1" x14ac:dyDescent="0.3">
      <c r="A13" s="9"/>
      <c r="B13" s="5"/>
      <c r="C13" s="9"/>
      <c r="D13" s="9"/>
      <c r="E13" s="9"/>
      <c r="F13" s="9"/>
      <c r="G13" s="9"/>
      <c r="H13" s="9"/>
      <c r="I13" s="70" t="str">
        <f>"RAMP Weight (3816 lbs MAX)"</f>
        <v>RAMP Weight (3816 lbs MAX)</v>
      </c>
      <c r="J13" s="148"/>
      <c r="K13" s="149"/>
      <c r="L13" s="92">
        <f>SUM(L11:L12)</f>
        <v>2665.33</v>
      </c>
      <c r="M13" s="92">
        <f>N13/L13</f>
        <v>86.797668581376413</v>
      </c>
      <c r="N13" s="96">
        <f>SUM(N11:N12)</f>
        <v>231344.43</v>
      </c>
      <c r="O13" s="30"/>
      <c r="P13" s="31"/>
      <c r="Q13" s="32"/>
      <c r="R13" s="31"/>
      <c r="S13" s="30"/>
      <c r="T13"/>
    </row>
    <row r="14" spans="1:26" ht="12.75" customHeight="1" x14ac:dyDescent="0.2">
      <c r="A14" s="9"/>
      <c r="B14" s="5"/>
      <c r="C14" s="9"/>
      <c r="D14" s="9"/>
      <c r="E14" s="9"/>
      <c r="F14" s="9"/>
      <c r="G14" s="9"/>
      <c r="H14" s="9"/>
      <c r="I14" s="69" t="s">
        <v>6</v>
      </c>
      <c r="J14" s="148" t="s">
        <v>7</v>
      </c>
      <c r="K14" s="149"/>
      <c r="L14" s="73">
        <v>-16</v>
      </c>
      <c r="M14" s="94">
        <f>VLOOKUP(J4,Data!F3:J3,5,FALSE)</f>
        <v>95</v>
      </c>
      <c r="N14" s="96">
        <f t="shared" si="0"/>
        <v>-1520</v>
      </c>
      <c r="O14" s="30"/>
      <c r="P14" s="31"/>
      <c r="Q14" s="32"/>
      <c r="R14" s="31"/>
      <c r="S14" s="30"/>
    </row>
    <row r="15" spans="1:26" ht="12.75" customHeight="1" x14ac:dyDescent="0.25">
      <c r="A15" s="9"/>
      <c r="B15" s="5"/>
      <c r="C15" s="9"/>
      <c r="D15" s="9"/>
      <c r="E15" s="9"/>
      <c r="F15" s="9"/>
      <c r="G15" s="9"/>
      <c r="H15" s="9"/>
      <c r="I15" s="70" t="str">
        <f>"Take off Weight (3800 lbs MAX)"</f>
        <v>Take off Weight (3800 lbs MAX)</v>
      </c>
      <c r="J15" s="155"/>
      <c r="K15" s="156"/>
      <c r="L15" s="91">
        <f>SUM(L13:L14)</f>
        <v>2649.33</v>
      </c>
      <c r="M15" s="91">
        <f>N15/L15</f>
        <v>86.748132546719361</v>
      </c>
      <c r="N15" s="93">
        <f>SUM(N13:N14)</f>
        <v>229824.43</v>
      </c>
      <c r="O15" s="30"/>
      <c r="P15" s="31"/>
      <c r="Q15" s="32"/>
      <c r="R15" s="31"/>
      <c r="S15" s="30"/>
    </row>
    <row r="16" spans="1:26" ht="12.75" customHeight="1" x14ac:dyDescent="0.2">
      <c r="A16" s="9"/>
      <c r="B16" s="5"/>
      <c r="C16" s="9"/>
      <c r="D16" s="9"/>
      <c r="E16" s="9"/>
      <c r="F16" s="9"/>
      <c r="G16" s="9"/>
      <c r="H16" s="9"/>
      <c r="I16" s="69" t="s">
        <v>50</v>
      </c>
      <c r="J16" s="135">
        <v>0</v>
      </c>
      <c r="K16" s="136"/>
      <c r="L16" s="74">
        <f>-J16*6</f>
        <v>0</v>
      </c>
      <c r="M16" s="94">
        <f>VLOOKUP(J4,Data!F3:J3,5,FALSE)</f>
        <v>95</v>
      </c>
      <c r="N16" s="96">
        <f>M16*L16</f>
        <v>0</v>
      </c>
      <c r="O16" s="30"/>
      <c r="P16" s="31"/>
      <c r="Q16" s="32"/>
      <c r="R16" s="31"/>
      <c r="S16" s="30"/>
    </row>
    <row r="17" spans="1:25" ht="12.75" customHeight="1" x14ac:dyDescent="0.25">
      <c r="A17" s="9"/>
      <c r="B17" s="5"/>
      <c r="C17" s="9"/>
      <c r="D17" s="9"/>
      <c r="E17" s="9"/>
      <c r="F17" s="9"/>
      <c r="G17" s="9"/>
      <c r="H17" s="9"/>
      <c r="I17" s="71" t="s">
        <v>70</v>
      </c>
      <c r="J17" s="125"/>
      <c r="K17" s="126"/>
      <c r="L17" s="92">
        <f>SUM(L15:L16)</f>
        <v>2649.33</v>
      </c>
      <c r="M17" s="92">
        <f>N17/L17</f>
        <v>86.748132546719361</v>
      </c>
      <c r="N17" s="95">
        <f>SUM(N15:N16)</f>
        <v>229824.43</v>
      </c>
      <c r="O17" s="30"/>
      <c r="P17" s="31"/>
      <c r="Q17" s="32"/>
      <c r="R17" s="31"/>
      <c r="S17" s="30"/>
    </row>
    <row r="18" spans="1:25" ht="12.75" customHeight="1" x14ac:dyDescent="0.2">
      <c r="A18" s="9"/>
      <c r="B18" s="5"/>
      <c r="C18" s="9"/>
      <c r="D18" s="9"/>
      <c r="E18" s="9"/>
      <c r="F18" s="9"/>
      <c r="G18" s="9"/>
      <c r="H18" s="9"/>
      <c r="I18" s="14" t="str">
        <f>IF(L15&gt;Data!B16, "Overweight by:", "Underweight by:")</f>
        <v>Underweight by:</v>
      </c>
      <c r="J18" s="99">
        <f>Data!B16-L15</f>
        <v>1150.67</v>
      </c>
      <c r="K18" s="100"/>
      <c r="L18" s="9"/>
      <c r="M18" s="9"/>
      <c r="N18" s="97"/>
      <c r="O18" s="30"/>
      <c r="P18" s="31"/>
      <c r="Q18" s="32"/>
      <c r="R18" s="31"/>
      <c r="S18" s="30"/>
    </row>
    <row r="19" spans="1:25" ht="12.75" customHeight="1" x14ac:dyDescent="0.3">
      <c r="A19" s="9"/>
      <c r="B19" s="5"/>
      <c r="C19" s="9"/>
      <c r="D19" s="9"/>
      <c r="E19" s="9"/>
      <c r="F19" s="9"/>
      <c r="G19" s="9"/>
      <c r="H19" s="9"/>
      <c r="I19" s="108" t="s">
        <v>62</v>
      </c>
      <c r="J19" s="109"/>
      <c r="K19" s="109"/>
      <c r="L19" s="109"/>
      <c r="M19" s="109"/>
      <c r="N19" s="110"/>
      <c r="O19" s="30"/>
      <c r="P19" s="31"/>
      <c r="Q19" s="32"/>
      <c r="R19" s="31"/>
      <c r="S19" s="30"/>
    </row>
    <row r="20" spans="1:25" ht="12.75" customHeight="1" x14ac:dyDescent="0.2">
      <c r="A20" s="9"/>
      <c r="B20" s="5"/>
      <c r="C20" s="9"/>
      <c r="D20" s="9"/>
      <c r="E20" s="9"/>
      <c r="F20" s="9"/>
      <c r="G20" s="9"/>
      <c r="H20" s="9"/>
      <c r="I20" s="98" t="s">
        <v>63</v>
      </c>
      <c r="J20" s="111" t="str">
        <f>VLOOKUP(J4,Data!F3:O3,9,FALSE)</f>
        <v>5.0 quarts</v>
      </c>
      <c r="K20" s="111"/>
      <c r="L20" s="111"/>
      <c r="M20" s="111"/>
      <c r="N20" s="111"/>
      <c r="O20" s="30"/>
      <c r="P20" s="31"/>
      <c r="Q20" s="32"/>
      <c r="R20" s="31"/>
      <c r="S20" s="30"/>
    </row>
    <row r="21" spans="1:25" ht="12.75" customHeight="1" x14ac:dyDescent="0.2">
      <c r="A21" s="9"/>
      <c r="B21" s="5"/>
      <c r="C21" s="9"/>
      <c r="D21" s="9"/>
      <c r="E21" s="9"/>
      <c r="F21" s="9"/>
      <c r="G21" s="9"/>
      <c r="H21" s="9"/>
      <c r="I21" s="98" t="s">
        <v>64</v>
      </c>
      <c r="J21" s="111" t="str">
        <f>VLOOKUP(J4,Data!F3:O3,10,FALSE)</f>
        <v>7.0 quarts</v>
      </c>
      <c r="K21" s="111"/>
      <c r="L21" s="111"/>
      <c r="M21" s="111"/>
      <c r="N21" s="111"/>
      <c r="O21" s="30"/>
      <c r="P21" s="31"/>
      <c r="Q21" s="32"/>
      <c r="R21" s="31"/>
      <c r="S21" s="30"/>
    </row>
    <row r="22" spans="1:25" ht="12.75" customHeight="1" x14ac:dyDescent="0.25">
      <c r="A22" s="9"/>
      <c r="B22" s="5"/>
      <c r="C22" s="9"/>
      <c r="D22" s="9"/>
      <c r="E22" s="9"/>
      <c r="F22" s="9"/>
      <c r="G22" s="9"/>
      <c r="H22" s="9"/>
      <c r="I22" s="122" t="s">
        <v>21</v>
      </c>
      <c r="J22" s="123"/>
      <c r="K22" s="123"/>
      <c r="L22" s="123"/>
      <c r="M22" s="123"/>
      <c r="N22" s="124"/>
      <c r="O22" s="30"/>
      <c r="P22" s="33"/>
      <c r="Q22" s="33"/>
      <c r="R22" s="31"/>
      <c r="S22" s="30"/>
    </row>
    <row r="23" spans="1:25" ht="12.75" customHeight="1" x14ac:dyDescent="0.25">
      <c r="A23" s="9"/>
      <c r="B23" s="5"/>
      <c r="C23" s="9"/>
      <c r="D23" s="9"/>
      <c r="E23" s="9"/>
      <c r="F23" s="9"/>
      <c r="G23" s="9"/>
      <c r="H23" s="9"/>
      <c r="I23" s="15" t="str">
        <f>IF(L11&gt;3800,"Warning: Maximum Zero Fuel Weight Exceeded for This Aircraft",IF(L13&gt;3816,"Warning: Max RAMP Weight Exceeded for This Aircraft",IF(L15&gt;3800,"Warning: Maximum Takeoff Weight Exceeded for This Aircraft",IF(L17&gt;3800,"Warning: Maximum Landing Weight Exceeded for This Aircraft",""))))</f>
        <v/>
      </c>
      <c r="J23" s="43"/>
      <c r="K23" s="9"/>
      <c r="L23" s="9"/>
      <c r="M23" s="9"/>
      <c r="N23" s="16"/>
      <c r="O23" s="30"/>
      <c r="P23" s="33"/>
      <c r="Q23" s="33"/>
      <c r="R23" s="31"/>
      <c r="S23" s="30"/>
    </row>
    <row r="24" spans="1:25" ht="12.75" customHeight="1" x14ac:dyDescent="0.25">
      <c r="A24" s="9"/>
      <c r="B24" s="5"/>
      <c r="C24" s="9"/>
      <c r="D24" s="9"/>
      <c r="E24" s="9"/>
      <c r="F24" s="9"/>
      <c r="G24" s="9"/>
      <c r="H24" s="9"/>
      <c r="I24" s="15" t="str">
        <f>IF(J10&gt;200,"Warning: Too Much Baggage for This Aircraft!","")</f>
        <v/>
      </c>
      <c r="J24" s="43"/>
      <c r="K24" s="9"/>
      <c r="L24" s="9"/>
      <c r="M24" s="17"/>
      <c r="N24" s="18"/>
      <c r="O24" s="30"/>
      <c r="P24" s="33"/>
      <c r="Q24" s="33"/>
      <c r="R24" s="31"/>
      <c r="S24" s="30"/>
    </row>
    <row r="25" spans="1:25" ht="12.75" customHeight="1" x14ac:dyDescent="0.25">
      <c r="A25" s="9"/>
      <c r="B25" s="5"/>
      <c r="C25" s="9"/>
      <c r="D25" s="9"/>
      <c r="E25" s="9"/>
      <c r="F25" s="9"/>
      <c r="G25" s="9"/>
      <c r="H25" s="9"/>
      <c r="I25" s="15" t="str">
        <f>IF(MAX(M15)&gt;Data!B8,"Warning: C.G. Too Far After for This Aircraft!!!","")&amp;IF(M11&lt;Data!B3,"Warning: C.G. Too Far Forward for This Aircraft!!!","")</f>
        <v/>
      </c>
      <c r="J25" s="43"/>
      <c r="K25" s="9"/>
      <c r="L25" s="9"/>
      <c r="M25" s="17"/>
      <c r="N25" s="18"/>
      <c r="O25" s="30"/>
      <c r="P25" s="33"/>
      <c r="Q25" s="33"/>
      <c r="R25" s="31"/>
      <c r="S25" s="30"/>
    </row>
    <row r="26" spans="1:25" ht="12.75" customHeight="1" x14ac:dyDescent="0.25">
      <c r="A26" s="9"/>
      <c r="B26" s="5"/>
      <c r="C26" s="9"/>
      <c r="D26" s="9"/>
      <c r="E26" s="9"/>
      <c r="F26" s="9"/>
      <c r="G26" s="9"/>
      <c r="H26" s="9"/>
      <c r="I26" s="19" t="str">
        <f>IF(J12&gt;Data!B20,"Warning: Too Much Fuel","")</f>
        <v/>
      </c>
      <c r="J26" s="44"/>
      <c r="K26" s="20"/>
      <c r="L26" s="21"/>
      <c r="M26" s="21"/>
      <c r="N26" s="22"/>
      <c r="O26" s="30"/>
      <c r="P26" s="33"/>
      <c r="Q26" s="33"/>
      <c r="R26" s="31"/>
      <c r="S26" s="30"/>
    </row>
    <row r="27" spans="1:25" ht="12.75" customHeight="1" x14ac:dyDescent="0.2">
      <c r="A27" s="9"/>
      <c r="B27" s="5"/>
      <c r="C27" s="9"/>
      <c r="D27" s="9"/>
      <c r="E27" s="9"/>
      <c r="F27" s="9"/>
      <c r="G27" s="9"/>
      <c r="H27" s="9"/>
      <c r="I27" s="159" t="s">
        <v>58</v>
      </c>
      <c r="J27" s="159"/>
      <c r="K27" s="159"/>
      <c r="L27" s="159"/>
      <c r="M27" s="159"/>
      <c r="N27" s="159"/>
      <c r="O27" s="30"/>
      <c r="P27" s="9"/>
      <c r="Q27" s="9"/>
      <c r="R27" s="9"/>
      <c r="S27" s="30"/>
    </row>
    <row r="28" spans="1:25" ht="12.75" customHeight="1" x14ac:dyDescent="0.2">
      <c r="A28" s="9"/>
      <c r="B28" s="5"/>
      <c r="C28" s="9"/>
      <c r="D28" s="9"/>
      <c r="E28" s="9"/>
      <c r="F28" s="9"/>
      <c r="G28" s="9"/>
      <c r="H28" s="9"/>
      <c r="I28" s="160"/>
      <c r="J28" s="160"/>
      <c r="K28" s="160"/>
      <c r="L28" s="160"/>
      <c r="M28" s="160"/>
      <c r="N28" s="160"/>
      <c r="O28" s="30"/>
      <c r="P28" s="9"/>
      <c r="Q28" s="9"/>
      <c r="R28" s="9"/>
      <c r="S28" s="30"/>
    </row>
    <row r="29" spans="1:25" ht="12.75" customHeight="1" x14ac:dyDescent="0.2">
      <c r="A29" s="9"/>
      <c r="B29" s="5"/>
      <c r="C29" s="9"/>
      <c r="D29" s="9"/>
      <c r="E29" s="9"/>
      <c r="F29" s="9"/>
      <c r="G29" s="9"/>
      <c r="H29" s="9"/>
      <c r="I29" s="127" t="s">
        <v>20</v>
      </c>
      <c r="J29" s="128"/>
      <c r="K29" s="128"/>
      <c r="L29" s="128"/>
      <c r="M29" s="128"/>
      <c r="N29" s="129"/>
      <c r="O29" s="30"/>
      <c r="P29" s="9"/>
      <c r="Q29" s="9"/>
      <c r="R29" s="9"/>
      <c r="S29" s="30"/>
    </row>
    <row r="30" spans="1:25" ht="12.75" customHeight="1" x14ac:dyDescent="0.2">
      <c r="A30" s="9"/>
      <c r="B30" s="5"/>
      <c r="C30" s="9"/>
      <c r="D30" s="9"/>
      <c r="E30" s="9"/>
      <c r="F30" s="9"/>
      <c r="G30" s="9"/>
      <c r="H30" s="9"/>
      <c r="I30" s="130"/>
      <c r="J30" s="131"/>
      <c r="K30" s="131"/>
      <c r="L30" s="131"/>
      <c r="M30" s="131"/>
      <c r="N30" s="132"/>
      <c r="O30" s="30"/>
      <c r="P30" s="9"/>
      <c r="Q30" s="9"/>
      <c r="R30" s="9"/>
      <c r="S30" s="30"/>
    </row>
    <row r="31" spans="1:25" ht="15" customHeight="1" x14ac:dyDescent="0.2">
      <c r="A31" s="9"/>
      <c r="B31" s="6"/>
      <c r="C31" s="39"/>
      <c r="D31" s="39"/>
      <c r="E31" s="39"/>
      <c r="F31" s="39"/>
      <c r="G31" s="39"/>
      <c r="H31" s="39"/>
      <c r="I31" s="139" t="s">
        <v>45</v>
      </c>
      <c r="J31" s="140"/>
      <c r="K31" s="140"/>
      <c r="L31" s="140"/>
      <c r="M31" s="140"/>
      <c r="N31" s="141"/>
      <c r="O31" s="30"/>
      <c r="P31" s="9"/>
      <c r="Q31" s="9"/>
      <c r="R31" s="9"/>
      <c r="S31" s="30"/>
      <c r="Y31" s="8"/>
    </row>
    <row r="32" spans="1:25" ht="12.65" customHeight="1" x14ac:dyDescent="0.2">
      <c r="A32" s="9"/>
      <c r="B32" s="6"/>
      <c r="C32" s="39"/>
      <c r="D32" s="39"/>
      <c r="E32" s="39"/>
      <c r="F32" s="39"/>
      <c r="G32" s="39"/>
      <c r="H32" s="39"/>
      <c r="I32" s="142"/>
      <c r="J32" s="143"/>
      <c r="K32" s="143"/>
      <c r="L32" s="143"/>
      <c r="M32" s="143"/>
      <c r="N32" s="144"/>
      <c r="O32" s="30"/>
      <c r="P32" s="9"/>
      <c r="Q32" s="9"/>
      <c r="R32" s="9"/>
      <c r="S32" s="30"/>
      <c r="Y32" s="8"/>
    </row>
    <row r="33" spans="1:25" ht="12.75" customHeight="1" x14ac:dyDescent="0.2">
      <c r="A33" s="9"/>
      <c r="B33" s="6"/>
      <c r="C33" s="39"/>
      <c r="D33" s="39"/>
      <c r="E33" s="39"/>
      <c r="F33" s="39"/>
      <c r="G33" s="39"/>
      <c r="H33" s="39"/>
      <c r="I33" s="145"/>
      <c r="J33" s="146"/>
      <c r="K33" s="146"/>
      <c r="L33" s="146"/>
      <c r="M33" s="146"/>
      <c r="N33" s="147"/>
      <c r="O33" s="30"/>
      <c r="P33" s="9"/>
      <c r="Q33" s="9"/>
      <c r="R33" s="9"/>
      <c r="S33" s="30"/>
      <c r="Y33" s="8"/>
    </row>
    <row r="34" spans="1:25" ht="12.65" customHeight="1" x14ac:dyDescent="0.2">
      <c r="A34" s="9"/>
      <c r="B34" s="6"/>
      <c r="C34" s="39"/>
      <c r="D34" s="39"/>
      <c r="E34" s="39"/>
      <c r="F34" s="39"/>
      <c r="G34" s="39"/>
      <c r="H34" s="39"/>
      <c r="I34" s="137" t="s">
        <v>39</v>
      </c>
      <c r="J34" s="137"/>
      <c r="K34" s="138"/>
      <c r="L34" s="138"/>
      <c r="M34" s="138"/>
      <c r="N34" s="138"/>
      <c r="O34" s="30"/>
      <c r="P34" s="31"/>
      <c r="Q34" s="32"/>
      <c r="R34" s="31"/>
      <c r="S34" s="30"/>
    </row>
    <row r="35" spans="1:25" ht="3.75" customHeight="1" x14ac:dyDescent="0.2">
      <c r="A35" s="9"/>
      <c r="B35" s="5"/>
      <c r="C35" s="9"/>
      <c r="D35" s="9"/>
      <c r="E35" s="9"/>
      <c r="F35" s="9"/>
      <c r="G35" s="9"/>
      <c r="H35" s="9"/>
      <c r="I35" s="137"/>
      <c r="J35" s="137"/>
      <c r="K35" s="138"/>
      <c r="L35" s="138"/>
      <c r="M35" s="138"/>
      <c r="N35" s="138"/>
      <c r="O35" s="30"/>
      <c r="P35" s="31"/>
      <c r="Q35" s="32"/>
      <c r="R35" s="31"/>
      <c r="S35" s="30"/>
    </row>
    <row r="36" spans="1:25" ht="7.5" customHeight="1" x14ac:dyDescent="0.2">
      <c r="A36" s="9"/>
      <c r="B36" s="5"/>
      <c r="C36" s="9"/>
      <c r="D36" s="9"/>
      <c r="E36" s="9"/>
      <c r="F36" s="9"/>
      <c r="G36" s="9"/>
      <c r="H36" s="9"/>
      <c r="I36" s="137"/>
      <c r="J36" s="137"/>
      <c r="K36" s="138"/>
      <c r="L36" s="138"/>
      <c r="M36" s="138"/>
      <c r="N36" s="138"/>
      <c r="O36" s="30"/>
      <c r="P36" s="31"/>
      <c r="Q36" s="32"/>
      <c r="R36" s="31"/>
      <c r="S36" s="30"/>
    </row>
    <row r="37" spans="1:25" ht="4.4000000000000004" customHeight="1" x14ac:dyDescent="0.2">
      <c r="A37" s="9"/>
      <c r="B37" s="5"/>
      <c r="C37" s="9"/>
      <c r="D37" s="9"/>
      <c r="E37" s="9"/>
      <c r="F37" s="9"/>
      <c r="G37" s="9"/>
      <c r="H37" s="9"/>
      <c r="I37" s="23"/>
      <c r="J37" s="24"/>
      <c r="K37" s="107"/>
      <c r="L37" s="107"/>
      <c r="M37" s="107"/>
      <c r="N37" s="107"/>
      <c r="O37" s="30"/>
      <c r="P37" s="31"/>
      <c r="Q37" s="32"/>
      <c r="R37" s="31"/>
      <c r="S37" s="30"/>
    </row>
    <row r="38" spans="1:25" ht="12.75" customHeight="1" x14ac:dyDescent="0.25">
      <c r="A38" s="9"/>
      <c r="B38" s="5"/>
      <c r="C38" s="9"/>
      <c r="D38" s="9"/>
      <c r="E38" s="9"/>
      <c r="F38" s="9"/>
      <c r="G38" s="9"/>
      <c r="H38" s="9"/>
      <c r="I38" s="118" t="s">
        <v>14</v>
      </c>
      <c r="J38" s="119"/>
      <c r="K38" s="107"/>
      <c r="L38" s="107"/>
      <c r="M38" s="107"/>
      <c r="N38" s="107"/>
      <c r="O38" s="30"/>
      <c r="P38" s="31"/>
      <c r="Q38" s="32"/>
      <c r="R38" s="31"/>
      <c r="S38" s="30"/>
    </row>
    <row r="39" spans="1:25" ht="5.5" customHeight="1" x14ac:dyDescent="0.2">
      <c r="A39" s="9"/>
      <c r="B39" s="5"/>
      <c r="C39" s="9"/>
      <c r="D39" s="9"/>
      <c r="E39" s="9"/>
      <c r="F39" s="9"/>
      <c r="G39" s="9"/>
      <c r="H39" s="9"/>
      <c r="I39" s="120"/>
      <c r="J39" s="121"/>
      <c r="K39" s="107"/>
      <c r="L39" s="107"/>
      <c r="M39" s="107"/>
      <c r="N39" s="107"/>
      <c r="O39" s="30"/>
      <c r="P39" s="31"/>
      <c r="Q39" s="32"/>
      <c r="R39" s="9"/>
      <c r="S39" s="30"/>
    </row>
    <row r="40" spans="1:25" ht="5.5" customHeight="1" x14ac:dyDescent="0.2">
      <c r="A40" s="9"/>
      <c r="B40" s="5"/>
      <c r="C40" s="173" t="s">
        <v>34</v>
      </c>
      <c r="D40" s="174"/>
      <c r="E40" s="179"/>
      <c r="F40" s="182" t="s">
        <v>29</v>
      </c>
      <c r="G40" s="185"/>
      <c r="H40" s="9"/>
      <c r="I40" s="105"/>
      <c r="J40" s="106"/>
      <c r="K40" s="168"/>
      <c r="L40" s="168"/>
      <c r="M40" s="168"/>
      <c r="N40" s="168"/>
      <c r="O40" s="30"/>
      <c r="P40" s="31"/>
      <c r="Q40" s="32"/>
      <c r="R40" s="9"/>
      <c r="S40" s="30"/>
    </row>
    <row r="41" spans="1:25" ht="11.25" customHeight="1" x14ac:dyDescent="0.25">
      <c r="A41" s="9"/>
      <c r="B41" s="5"/>
      <c r="C41" s="175"/>
      <c r="D41" s="176"/>
      <c r="E41" s="180"/>
      <c r="F41" s="183"/>
      <c r="G41" s="186"/>
      <c r="H41" s="9"/>
      <c r="I41" s="101" t="s">
        <v>15</v>
      </c>
      <c r="J41" s="102"/>
      <c r="K41" s="168"/>
      <c r="L41" s="168"/>
      <c r="M41" s="168"/>
      <c r="N41" s="168"/>
      <c r="O41" s="30"/>
      <c r="P41" s="31"/>
      <c r="Q41" s="32"/>
      <c r="R41" s="9"/>
      <c r="S41" s="30"/>
    </row>
    <row r="42" spans="1:25" ht="5.5" customHeight="1" x14ac:dyDescent="0.2">
      <c r="A42" s="9"/>
      <c r="B42" s="5"/>
      <c r="C42" s="177"/>
      <c r="D42" s="178"/>
      <c r="E42" s="181"/>
      <c r="F42" s="184"/>
      <c r="G42" s="187"/>
      <c r="H42" s="9"/>
      <c r="I42" s="103"/>
      <c r="J42" s="104"/>
      <c r="K42" s="168"/>
      <c r="L42" s="168"/>
      <c r="M42" s="168"/>
      <c r="N42" s="168"/>
      <c r="O42" s="30"/>
      <c r="P42" s="31"/>
      <c r="Q42" s="32"/>
      <c r="R42" s="9"/>
      <c r="S42" s="30"/>
    </row>
    <row r="43" spans="1:25" ht="5.5" customHeight="1" x14ac:dyDescent="0.2">
      <c r="A43" s="9"/>
      <c r="B43" s="5"/>
      <c r="C43" s="162" t="s">
        <v>33</v>
      </c>
      <c r="D43" s="163"/>
      <c r="E43" s="179"/>
      <c r="F43" s="182" t="s">
        <v>29</v>
      </c>
      <c r="G43" s="185"/>
      <c r="H43" s="9"/>
      <c r="I43" s="157"/>
      <c r="J43" s="158"/>
      <c r="K43" s="107"/>
      <c r="L43" s="107"/>
      <c r="M43" s="107"/>
      <c r="N43" s="107"/>
      <c r="O43" s="30"/>
      <c r="P43" s="31"/>
      <c r="Q43" s="32"/>
      <c r="R43" s="9"/>
      <c r="S43" s="30"/>
    </row>
    <row r="44" spans="1:25" ht="11.25" customHeight="1" x14ac:dyDescent="0.25">
      <c r="A44" s="9"/>
      <c r="B44" s="5"/>
      <c r="C44" s="188"/>
      <c r="D44" s="189"/>
      <c r="E44" s="180"/>
      <c r="F44" s="183"/>
      <c r="G44" s="186"/>
      <c r="H44" s="9"/>
      <c r="I44" s="101" t="s">
        <v>16</v>
      </c>
      <c r="J44" s="102"/>
      <c r="K44" s="107"/>
      <c r="L44" s="107"/>
      <c r="M44" s="107"/>
      <c r="N44" s="107"/>
      <c r="O44" s="30"/>
      <c r="P44" s="31"/>
      <c r="Q44" s="32"/>
      <c r="R44" s="9"/>
      <c r="S44" s="30"/>
    </row>
    <row r="45" spans="1:25" ht="5.15" customHeight="1" x14ac:dyDescent="0.2">
      <c r="A45" s="9"/>
      <c r="B45" s="5"/>
      <c r="C45" s="188"/>
      <c r="D45" s="189"/>
      <c r="E45" s="180"/>
      <c r="F45" s="183"/>
      <c r="G45" s="186"/>
      <c r="H45" s="9"/>
      <c r="I45" s="103"/>
      <c r="J45" s="104"/>
      <c r="K45" s="107"/>
      <c r="L45" s="107"/>
      <c r="M45" s="107"/>
      <c r="N45" s="107"/>
      <c r="O45" s="30"/>
      <c r="P45" s="31"/>
      <c r="Q45" s="32"/>
      <c r="R45" s="9"/>
      <c r="S45" s="30"/>
    </row>
    <row r="46" spans="1:25" ht="5.15" customHeight="1" x14ac:dyDescent="0.2">
      <c r="A46" s="9"/>
      <c r="B46" s="5"/>
      <c r="C46" s="164"/>
      <c r="D46" s="165"/>
      <c r="E46" s="181"/>
      <c r="F46" s="184"/>
      <c r="G46" s="187"/>
      <c r="H46" s="9"/>
      <c r="I46" s="14"/>
      <c r="J46" s="9"/>
      <c r="K46" s="25"/>
      <c r="L46" s="25"/>
      <c r="M46" s="25"/>
      <c r="N46" s="40"/>
      <c r="O46" s="30"/>
      <c r="P46" s="31"/>
      <c r="Q46" s="32"/>
      <c r="R46" s="9"/>
      <c r="S46" s="30"/>
    </row>
    <row r="47" spans="1:25" ht="11.25" customHeight="1" x14ac:dyDescent="0.2">
      <c r="A47" s="9"/>
      <c r="B47" s="5"/>
      <c r="C47" s="162" t="s">
        <v>30</v>
      </c>
      <c r="D47" s="163"/>
      <c r="E47" s="179"/>
      <c r="F47" s="182" t="s">
        <v>29</v>
      </c>
      <c r="G47" s="185"/>
      <c r="H47" s="9"/>
      <c r="I47" s="169" t="s">
        <v>17</v>
      </c>
      <c r="J47" s="170"/>
      <c r="K47" s="170"/>
      <c r="L47" s="170"/>
      <c r="M47" s="170"/>
      <c r="N47" s="171"/>
      <c r="O47" s="30"/>
      <c r="P47" s="31"/>
      <c r="Q47" s="32"/>
      <c r="R47" s="9"/>
      <c r="S47" s="30"/>
    </row>
    <row r="48" spans="1:25" ht="11.25" customHeight="1" x14ac:dyDescent="0.2">
      <c r="A48" s="9"/>
      <c r="B48" s="5"/>
      <c r="C48" s="164"/>
      <c r="D48" s="165"/>
      <c r="E48" s="181"/>
      <c r="F48" s="184"/>
      <c r="G48" s="187"/>
      <c r="H48" s="9"/>
      <c r="I48" s="41"/>
      <c r="J48" s="47"/>
      <c r="K48" s="47"/>
      <c r="L48" s="47"/>
      <c r="M48" s="47"/>
      <c r="N48" s="48"/>
      <c r="O48" s="30"/>
      <c r="P48" s="31"/>
      <c r="Q48" s="32"/>
      <c r="R48" s="9"/>
      <c r="S48" s="30"/>
    </row>
    <row r="49" spans="1:19" ht="11.25" customHeight="1" x14ac:dyDescent="0.2">
      <c r="A49" s="9"/>
      <c r="B49" s="5"/>
      <c r="C49" s="162" t="s">
        <v>31</v>
      </c>
      <c r="D49" s="163"/>
      <c r="E49" s="179"/>
      <c r="F49" s="183" t="s">
        <v>29</v>
      </c>
      <c r="G49" s="185"/>
      <c r="H49" s="9"/>
      <c r="I49" s="42"/>
      <c r="J49" s="46"/>
      <c r="K49" s="161"/>
      <c r="L49" s="161"/>
      <c r="M49" s="20"/>
      <c r="N49" s="26"/>
      <c r="O49" s="30"/>
      <c r="P49" s="31"/>
      <c r="Q49" s="32"/>
      <c r="R49" s="9"/>
      <c r="S49" s="30"/>
    </row>
    <row r="50" spans="1:19" ht="12.75" customHeight="1" x14ac:dyDescent="0.25">
      <c r="A50" s="9"/>
      <c r="B50" s="5"/>
      <c r="C50" s="164"/>
      <c r="D50" s="165"/>
      <c r="E50" s="181"/>
      <c r="F50" s="184"/>
      <c r="G50" s="187"/>
      <c r="H50" s="9"/>
      <c r="I50" s="77" t="s">
        <v>19</v>
      </c>
      <c r="J50" s="45"/>
      <c r="K50" s="20"/>
      <c r="L50" s="20"/>
      <c r="M50" s="166" t="s">
        <v>18</v>
      </c>
      <c r="N50" s="167"/>
      <c r="O50" s="30"/>
      <c r="P50" s="9"/>
      <c r="Q50" s="9"/>
      <c r="R50" s="9"/>
      <c r="S50" s="30"/>
    </row>
    <row r="51" spans="1:19" ht="12.75" customHeight="1" thickBot="1" x14ac:dyDescent="0.35">
      <c r="A51" s="9"/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9"/>
      <c r="O51" s="36"/>
      <c r="P51" s="35"/>
      <c r="Q51" s="35"/>
      <c r="R51" s="34"/>
      <c r="S51" s="36"/>
    </row>
    <row r="52" spans="1:19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.75" customHeight="1" x14ac:dyDescent="0.3">
      <c r="A53" s="9"/>
      <c r="B53" s="9"/>
      <c r="C53" s="9"/>
      <c r="D53" s="9"/>
      <c r="E53" s="9"/>
      <c r="F53" s="9"/>
      <c r="G53" s="9"/>
      <c r="H53" s="9"/>
      <c r="I53" s="60"/>
      <c r="J53" s="60"/>
      <c r="K53" s="60"/>
      <c r="L53" s="9"/>
      <c r="M53" s="61"/>
      <c r="N53" s="9"/>
      <c r="O53" s="63"/>
      <c r="P53" s="9"/>
      <c r="Q53" s="9"/>
      <c r="R53" s="9"/>
      <c r="S53" s="9"/>
    </row>
    <row r="54" spans="1:19" ht="12.75" customHeight="1" x14ac:dyDescent="0.3">
      <c r="A54" s="9"/>
      <c r="B54" s="9"/>
      <c r="C54" s="9"/>
      <c r="D54" s="9"/>
      <c r="E54" s="9"/>
      <c r="F54" s="9"/>
      <c r="G54" s="9"/>
      <c r="H54" s="9"/>
      <c r="I54" s="60"/>
      <c r="J54" s="60"/>
      <c r="K54" s="60"/>
      <c r="L54" s="61"/>
      <c r="M54" s="61"/>
      <c r="N54" s="9"/>
      <c r="O54" s="63"/>
      <c r="P54" s="9"/>
      <c r="Q54" s="9"/>
      <c r="R54" s="9"/>
      <c r="S54" s="9"/>
    </row>
    <row r="55" spans="1:19" ht="12.75" customHeight="1" x14ac:dyDescent="0.3">
      <c r="A55" s="9"/>
      <c r="B55" s="9"/>
      <c r="C55" s="9"/>
      <c r="D55" s="9"/>
      <c r="E55" s="9"/>
      <c r="F55" s="9"/>
      <c r="G55" s="9"/>
      <c r="H55" s="9"/>
      <c r="I55" s="59"/>
      <c r="J55" s="60"/>
      <c r="K55" s="60"/>
      <c r="L55" s="61"/>
      <c r="M55" s="62"/>
      <c r="N55" s="9"/>
      <c r="O55" s="9"/>
      <c r="P55" s="9"/>
      <c r="Q55" s="9"/>
      <c r="R55" s="9"/>
      <c r="S55" s="9"/>
    </row>
    <row r="56" spans="1:19" ht="12.75" customHeight="1" x14ac:dyDescent="0.3">
      <c r="A56" s="9"/>
      <c r="B56" s="9"/>
      <c r="C56" s="9"/>
      <c r="D56" s="9"/>
      <c r="E56" s="9"/>
      <c r="F56" s="9"/>
      <c r="G56" s="9"/>
      <c r="H56" s="9"/>
      <c r="I56" s="60"/>
      <c r="J56" s="60"/>
      <c r="K56" s="60"/>
      <c r="L56" s="62"/>
      <c r="M56" s="63"/>
      <c r="N56" s="63"/>
      <c r="O56" s="9"/>
      <c r="P56" s="9"/>
      <c r="Q56" s="9"/>
      <c r="R56" s="9"/>
      <c r="S56" s="9"/>
    </row>
    <row r="57" spans="1:19" ht="12.75" customHeight="1" x14ac:dyDescent="0.3">
      <c r="A57" s="9"/>
      <c r="B57" s="64"/>
      <c r="C57" s="64"/>
      <c r="D57" s="64"/>
      <c r="E57" s="64"/>
      <c r="F57" s="64"/>
      <c r="G57" s="64"/>
      <c r="H57" s="64"/>
      <c r="I57" s="9"/>
      <c r="J57" s="9"/>
      <c r="K57" s="63"/>
      <c r="L57" s="63"/>
      <c r="M57" s="9"/>
      <c r="N57" s="9"/>
      <c r="O57" s="9"/>
      <c r="P57" s="9"/>
      <c r="Q57" s="9"/>
      <c r="R57" s="9"/>
      <c r="S57" s="9"/>
    </row>
    <row r="58" spans="1:19" ht="12.75" customHeight="1" x14ac:dyDescent="0.2">
      <c r="A58" s="9"/>
      <c r="B58" s="64"/>
      <c r="C58" s="64"/>
      <c r="D58" s="64"/>
      <c r="E58" s="64"/>
      <c r="F58" s="64"/>
      <c r="G58" s="64"/>
      <c r="H58" s="6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.75" customHeight="1" x14ac:dyDescent="0.2">
      <c r="A60" s="9"/>
      <c r="B60" s="150"/>
      <c r="C60" s="75"/>
      <c r="D60" s="75"/>
      <c r="E60" s="75"/>
      <c r="F60" s="75"/>
      <c r="G60" s="75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.75" customHeight="1" x14ac:dyDescent="0.3">
      <c r="A61" s="9"/>
      <c r="B61" s="150"/>
      <c r="C61" s="75"/>
      <c r="D61" s="75"/>
      <c r="E61" s="75"/>
      <c r="F61" s="75"/>
      <c r="G61" s="75"/>
      <c r="H61" s="9"/>
      <c r="I61" s="9"/>
      <c r="J61" s="9"/>
      <c r="K61" s="9"/>
      <c r="L61" s="9"/>
      <c r="M61" s="61"/>
      <c r="N61" s="63"/>
      <c r="O61" s="9"/>
      <c r="P61" s="9"/>
      <c r="Q61" s="9"/>
      <c r="R61" s="9"/>
      <c r="S61" s="9"/>
    </row>
    <row r="62" spans="1:19" ht="12.75" customHeight="1" x14ac:dyDescent="0.3">
      <c r="A62" s="9"/>
      <c r="B62" s="64"/>
      <c r="C62" s="64"/>
      <c r="D62" s="64"/>
      <c r="E62" s="64"/>
      <c r="F62" s="64"/>
      <c r="G62" s="64"/>
      <c r="H62" s="9"/>
      <c r="I62" s="65"/>
      <c r="J62" s="65"/>
      <c r="K62" s="61"/>
      <c r="L62" s="61"/>
      <c r="M62" s="61"/>
      <c r="N62" s="63"/>
      <c r="O62" s="9"/>
      <c r="P62" s="9"/>
      <c r="Q62" s="9"/>
      <c r="R62" s="9"/>
      <c r="S62" s="9"/>
    </row>
    <row r="63" spans="1:19" ht="12.75" customHeight="1" x14ac:dyDescent="0.3">
      <c r="A63" s="9"/>
      <c r="B63" s="64"/>
      <c r="C63" s="64"/>
      <c r="D63" s="64"/>
      <c r="E63" s="64"/>
      <c r="F63" s="64"/>
      <c r="G63" s="64"/>
      <c r="H63" s="9"/>
      <c r="I63" s="61"/>
      <c r="J63" s="61"/>
      <c r="K63" s="61"/>
      <c r="L63" s="61"/>
      <c r="M63" s="63"/>
      <c r="N63" s="63"/>
      <c r="O63" s="9"/>
      <c r="P63" s="9"/>
      <c r="Q63" s="9"/>
      <c r="R63" s="9"/>
      <c r="S63" s="9"/>
    </row>
    <row r="64" spans="1:19" ht="12.75" customHeight="1" x14ac:dyDescent="0.3">
      <c r="B64" s="53"/>
      <c r="C64" s="53"/>
      <c r="D64" s="53"/>
      <c r="E64" s="53"/>
      <c r="F64" s="53"/>
      <c r="G64" s="53"/>
      <c r="I64" s="3"/>
      <c r="J64" s="3"/>
      <c r="K64" s="3"/>
      <c r="L64" s="3"/>
    </row>
    <row r="65" spans="2:17" ht="12.75" customHeight="1" x14ac:dyDescent="0.2">
      <c r="B65" s="53"/>
      <c r="C65" s="53"/>
      <c r="D65" s="53"/>
      <c r="E65" s="53"/>
      <c r="F65" s="53"/>
      <c r="G65" s="53"/>
    </row>
    <row r="66" spans="2:17" ht="12.75" customHeight="1" x14ac:dyDescent="0.2">
      <c r="B66" s="53"/>
      <c r="C66" s="53"/>
      <c r="D66" s="53"/>
      <c r="E66" s="53"/>
      <c r="F66" s="53"/>
      <c r="G66" s="53"/>
    </row>
    <row r="67" spans="2:17" ht="12.75" customHeight="1" x14ac:dyDescent="0.2">
      <c r="B67" s="53"/>
      <c r="C67" s="53"/>
      <c r="D67" s="53"/>
      <c r="E67" s="53"/>
      <c r="F67" s="53"/>
      <c r="G67" s="53"/>
    </row>
    <row r="68" spans="2:17" ht="12.75" customHeight="1" x14ac:dyDescent="0.2">
      <c r="B68" s="55"/>
      <c r="C68" s="55"/>
      <c r="D68" s="55"/>
      <c r="E68" s="55"/>
      <c r="F68" s="55"/>
      <c r="G68" s="55"/>
    </row>
    <row r="69" spans="2:17" ht="12.75" customHeight="1" x14ac:dyDescent="0.2">
      <c r="B69" s="53"/>
      <c r="C69" s="53"/>
      <c r="D69" s="53"/>
      <c r="E69" s="53"/>
      <c r="F69" s="53"/>
      <c r="G69" s="53"/>
    </row>
    <row r="70" spans="2:17" ht="12.75" customHeight="1" x14ac:dyDescent="0.2">
      <c r="B70" s="54"/>
      <c r="C70" s="54"/>
      <c r="D70" s="54"/>
      <c r="E70" s="54"/>
      <c r="F70" s="54"/>
      <c r="G70" s="54"/>
    </row>
    <row r="71" spans="2:17" ht="12.75" customHeight="1" x14ac:dyDescent="0.2">
      <c r="B71" s="55"/>
      <c r="C71" s="55"/>
      <c r="D71" s="55"/>
      <c r="E71" s="55"/>
      <c r="F71" s="55"/>
      <c r="G71" s="55"/>
    </row>
    <row r="72" spans="2:17" ht="12.75" customHeight="1" x14ac:dyDescent="0.2">
      <c r="B72" s="56"/>
      <c r="C72" s="56"/>
      <c r="D72" s="56"/>
      <c r="E72" s="56"/>
      <c r="F72" s="56"/>
      <c r="G72" s="56"/>
    </row>
    <row r="73" spans="2:17" ht="12.75" customHeight="1" x14ac:dyDescent="0.2">
      <c r="B73" s="56"/>
      <c r="C73" s="56"/>
      <c r="D73" s="56"/>
      <c r="E73" s="56"/>
      <c r="F73" s="56"/>
      <c r="G73" s="56"/>
    </row>
    <row r="74" spans="2:17" ht="12.75" customHeight="1" x14ac:dyDescent="0.2">
      <c r="B74" s="54"/>
      <c r="C74" s="54"/>
      <c r="D74" s="54"/>
      <c r="E74" s="54"/>
      <c r="F74" s="54"/>
      <c r="G74" s="54"/>
    </row>
    <row r="75" spans="2:17" ht="12.75" customHeight="1" x14ac:dyDescent="0.2">
      <c r="B75" s="53"/>
      <c r="C75" s="53"/>
      <c r="D75" s="53"/>
      <c r="E75" s="53"/>
      <c r="F75" s="53"/>
      <c r="G75" s="53"/>
    </row>
    <row r="76" spans="2:17" ht="12.75" customHeight="1" x14ac:dyDescent="0.2">
      <c r="B76" s="53"/>
      <c r="C76" s="53"/>
      <c r="D76" s="53"/>
      <c r="E76" s="53"/>
      <c r="F76" s="53"/>
      <c r="G76" s="53"/>
    </row>
    <row r="77" spans="2:17" ht="12.75" customHeight="1" x14ac:dyDescent="0.2">
      <c r="B77" s="53"/>
      <c r="C77" s="53"/>
      <c r="D77" s="53"/>
      <c r="E77" s="53"/>
      <c r="F77" s="53"/>
      <c r="G77" s="53"/>
    </row>
    <row r="78" spans="2:17" ht="12.75" customHeight="1" x14ac:dyDescent="0.2">
      <c r="B78" s="53"/>
      <c r="C78" s="53"/>
      <c r="D78" s="53"/>
      <c r="E78" s="53"/>
      <c r="F78" s="53"/>
      <c r="G78" s="53"/>
    </row>
    <row r="79" spans="2:17" ht="12.75" customHeight="1" x14ac:dyDescent="0.25">
      <c r="B79" s="57"/>
      <c r="C79" s="172" t="s">
        <v>48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</row>
    <row r="80" spans="2:17" ht="12.75" customHeight="1" x14ac:dyDescent="0.3">
      <c r="B80" s="66"/>
      <c r="C80" s="66"/>
      <c r="D80" s="66"/>
      <c r="E80" s="66"/>
      <c r="F80" s="66"/>
      <c r="G80" s="66"/>
      <c r="H80"/>
      <c r="I80"/>
    </row>
    <row r="81" spans="2:9" ht="12.75" customHeight="1" x14ac:dyDescent="0.3">
      <c r="B81" s="58"/>
      <c r="C81" s="58"/>
      <c r="D81" s="58"/>
      <c r="E81" s="58"/>
      <c r="F81" s="58"/>
      <c r="G81" s="58"/>
      <c r="H81"/>
      <c r="I81" s="58"/>
    </row>
    <row r="82" spans="2:9" ht="12.75" customHeight="1" x14ac:dyDescent="0.3">
      <c r="B82" s="58"/>
      <c r="C82" s="58"/>
      <c r="D82" s="58"/>
      <c r="E82" s="58"/>
      <c r="F82" s="58"/>
      <c r="G82" s="58"/>
      <c r="H82"/>
      <c r="I82"/>
    </row>
    <row r="83" spans="2:9" ht="12.75" customHeight="1" x14ac:dyDescent="0.3">
      <c r="B83" s="58"/>
      <c r="C83" s="58"/>
      <c r="D83" s="58"/>
      <c r="E83" s="58"/>
      <c r="F83" s="58"/>
      <c r="G83" s="58"/>
      <c r="H83"/>
      <c r="I83"/>
    </row>
    <row r="84" spans="2:9" ht="12.75" customHeight="1" x14ac:dyDescent="0.3">
      <c r="B84" s="58"/>
      <c r="C84" s="58"/>
      <c r="D84" s="58"/>
      <c r="E84" s="58"/>
      <c r="F84" s="58"/>
      <c r="G84" s="58"/>
      <c r="H84"/>
      <c r="I84"/>
    </row>
    <row r="85" spans="2:9" ht="12.75" customHeight="1" x14ac:dyDescent="0.3">
      <c r="B85" s="58"/>
      <c r="C85" s="58"/>
      <c r="D85" s="58"/>
      <c r="E85" s="58"/>
      <c r="F85" s="58"/>
      <c r="G85" s="58"/>
      <c r="H85"/>
      <c r="I85"/>
    </row>
    <row r="86" spans="2:9" ht="12.75" customHeight="1" x14ac:dyDescent="0.3">
      <c r="B86" s="58"/>
      <c r="C86" s="58"/>
      <c r="D86" s="58"/>
      <c r="E86" s="58"/>
      <c r="F86" s="58"/>
      <c r="G86" s="58"/>
      <c r="H86"/>
      <c r="I86"/>
    </row>
    <row r="87" spans="2:9" ht="12.75" customHeight="1" x14ac:dyDescent="0.3">
      <c r="B87" s="58"/>
      <c r="C87" s="58"/>
      <c r="D87" s="58"/>
      <c r="E87" s="58"/>
      <c r="F87" s="58"/>
      <c r="G87" s="58"/>
      <c r="H87"/>
      <c r="I87"/>
    </row>
    <row r="88" spans="2:9" ht="12.75" customHeight="1" x14ac:dyDescent="0.3">
      <c r="B88" s="58"/>
      <c r="C88" s="58"/>
      <c r="D88" s="58"/>
      <c r="E88" s="58"/>
      <c r="F88" s="58"/>
      <c r="G88" s="58"/>
      <c r="H88"/>
      <c r="I88"/>
    </row>
    <row r="89" spans="2:9" ht="12.75" customHeight="1" x14ac:dyDescent="0.3">
      <c r="B89" s="58"/>
      <c r="C89" s="58"/>
      <c r="D89" s="58"/>
      <c r="E89" s="58"/>
      <c r="F89" s="58"/>
      <c r="G89" s="58"/>
      <c r="H89"/>
      <c r="I89"/>
    </row>
  </sheetData>
  <sheetProtection algorithmName="SHA-512" hashValue="8II+QXhDVQLdLtxKVLqP9PKrg1fyXz8tuxXsQsCc+zox87+cuZG/VV+3X//rSbgtOTjstC730N4KIvcyLeNgOA==" saltValue="HvN1VZf0ylD/NJBNqfUV/g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mergeCells count="57">
    <mergeCell ref="C79:Q79"/>
    <mergeCell ref="C40:D42"/>
    <mergeCell ref="E40:E42"/>
    <mergeCell ref="F40:F42"/>
    <mergeCell ref="G40:G42"/>
    <mergeCell ref="C43:D46"/>
    <mergeCell ref="E43:E46"/>
    <mergeCell ref="F43:F46"/>
    <mergeCell ref="G43:G46"/>
    <mergeCell ref="E49:E50"/>
    <mergeCell ref="F49:F50"/>
    <mergeCell ref="G49:G50"/>
    <mergeCell ref="C47:D48"/>
    <mergeCell ref="E47:E48"/>
    <mergeCell ref="F47:F48"/>
    <mergeCell ref="G47:G48"/>
    <mergeCell ref="B60:B61"/>
    <mergeCell ref="J7:K7"/>
    <mergeCell ref="J8:K8"/>
    <mergeCell ref="J9:K9"/>
    <mergeCell ref="J11:K11"/>
    <mergeCell ref="J14:K14"/>
    <mergeCell ref="J15:K15"/>
    <mergeCell ref="J16:K16"/>
    <mergeCell ref="I43:J43"/>
    <mergeCell ref="I27:N28"/>
    <mergeCell ref="K49:L49"/>
    <mergeCell ref="I45:J45"/>
    <mergeCell ref="C49:D50"/>
    <mergeCell ref="M50:N50"/>
    <mergeCell ref="K40:N42"/>
    <mergeCell ref="I47:N47"/>
    <mergeCell ref="J1:M1"/>
    <mergeCell ref="J6:K6"/>
    <mergeCell ref="J4:N4"/>
    <mergeCell ref="I38:J38"/>
    <mergeCell ref="I39:J39"/>
    <mergeCell ref="K37:N39"/>
    <mergeCell ref="I22:N22"/>
    <mergeCell ref="J17:K17"/>
    <mergeCell ref="I29:N30"/>
    <mergeCell ref="I2:N3"/>
    <mergeCell ref="J10:K10"/>
    <mergeCell ref="I34:J36"/>
    <mergeCell ref="K34:N36"/>
    <mergeCell ref="I31:N33"/>
    <mergeCell ref="J12:K12"/>
    <mergeCell ref="J13:K13"/>
    <mergeCell ref="J18:K18"/>
    <mergeCell ref="I41:J41"/>
    <mergeCell ref="I42:J42"/>
    <mergeCell ref="I40:J40"/>
    <mergeCell ref="I44:J44"/>
    <mergeCell ref="K43:N45"/>
    <mergeCell ref="I19:N19"/>
    <mergeCell ref="J20:N20"/>
    <mergeCell ref="J21:N21"/>
  </mergeCells>
  <phoneticPr fontId="0" type="noConversion"/>
  <conditionalFormatting sqref="I19:N19">
    <cfRule type="expression" dxfId="3" priority="1">
      <formula>"(Len($D$20)+Len($D$21)+Len($D$22)+Len($D$23) == 0)"</formula>
    </cfRule>
    <cfRule type="expression" dxfId="2" priority="2">
      <formula>(LEN($I$23:$I$26) &gt; 1)</formula>
    </cfRule>
  </conditionalFormatting>
  <conditionalFormatting sqref="I22:N22">
    <cfRule type="expression" dxfId="1" priority="3">
      <formula>"(Len($D$20)+Len($D$21)+Len($D$22)+Len($D$23) == 0)"</formula>
    </cfRule>
    <cfRule type="expression" dxfId="0" priority="5">
      <formula>(LEN($I$23:$I$26) &gt; 1)</formula>
    </cfRule>
  </conditionalFormatting>
  <dataValidations count="4">
    <dataValidation type="decimal" allowBlank="1" showInputMessage="1" showErrorMessage="1" sqref="J8:K9" xr:uid="{3F5F9DFD-184D-40C9-BAB1-8E7F3763FC13}">
      <formula1>0</formula1>
      <formula2>1000</formula2>
    </dataValidation>
    <dataValidation type="decimal" allowBlank="1" showInputMessage="1" showErrorMessage="1" sqref="J16:K16 J13" xr:uid="{0AAB4ED2-6C65-4946-B1E2-714CF5445188}">
      <formula1>0</formula1>
      <formula2>100</formula2>
    </dataValidation>
    <dataValidation type="decimal" allowBlank="1" showInputMessage="1" showErrorMessage="1" sqref="J10:K10" xr:uid="{2CD5B5A1-2AF0-42A1-B24C-AD3BC2860F31}">
      <formula1>0</formula1>
      <formula2>200</formula2>
    </dataValidation>
    <dataValidation type="decimal" allowBlank="1" showInputMessage="1" showErrorMessage="1" sqref="J12:K12" xr:uid="{576611BB-1C84-43E0-A73E-F366F36B608E}">
      <formula1>0</formula1>
      <formula2>108</formula2>
    </dataValidation>
  </dataValidations>
  <printOptions horizontalCentered="1"/>
  <pageMargins left="0.25" right="0.25" top="0.49" bottom="0.41" header="0.3" footer="0.3"/>
  <pageSetup scale="96" orientation="landscape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689CD2-39CB-482B-8192-93F96FA46C42}">
          <x14:formula1>
            <xm:f>Data!$F$3:$F$3</xm:f>
          </x14:formula1>
          <xm:sqref>J4:N4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214-B512-4C09-8C97-8FE9BA99825E}">
  <sheetPr codeName="Sheet2"/>
  <dimension ref="A1:C4"/>
  <sheetViews>
    <sheetView workbookViewId="0">
      <selection activeCell="C5" sqref="C5"/>
    </sheetView>
  </sheetViews>
  <sheetFormatPr defaultRowHeight="13" x14ac:dyDescent="0.3"/>
  <cols>
    <col min="1" max="1" width="13.26953125" customWidth="1"/>
    <col min="2" max="2" width="12.54296875" customWidth="1"/>
    <col min="3" max="3" width="51.26953125" customWidth="1"/>
  </cols>
  <sheetData>
    <row r="1" spans="1:3" x14ac:dyDescent="0.3">
      <c r="A1" s="79" t="s">
        <v>40</v>
      </c>
      <c r="B1" s="79" t="s">
        <v>41</v>
      </c>
      <c r="C1" s="79" t="s">
        <v>42</v>
      </c>
    </row>
    <row r="2" spans="1:3" x14ac:dyDescent="0.3">
      <c r="A2" s="78">
        <v>45084</v>
      </c>
      <c r="B2" t="s">
        <v>67</v>
      </c>
      <c r="C2" t="s">
        <v>46</v>
      </c>
    </row>
    <row r="3" spans="1:3" x14ac:dyDescent="0.3">
      <c r="A3" s="78">
        <v>45133</v>
      </c>
      <c r="B3" t="s">
        <v>72</v>
      </c>
      <c r="C3" t="s">
        <v>73</v>
      </c>
    </row>
    <row r="4" spans="1:3" x14ac:dyDescent="0.3">
      <c r="A4" s="78">
        <v>45359</v>
      </c>
      <c r="B4" t="s">
        <v>74</v>
      </c>
      <c r="C4" t="s">
        <v>73</v>
      </c>
    </row>
  </sheetData>
  <sheetProtection algorithmName="SHA-512" hashValue="WYiLSGUrvIDMAg/0EGEoD0xufTo201mHLJ+TPxQobNFgqoOwMUOnD0tHRsDPN1M5vyf2xF6XBkT+UE6eDr1WBg==" saltValue="VIaC6AUCELd3G4oVHNwUw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B38-C5BA-4B89-AE86-6C7443E4D577}">
  <sheetPr codeName="Sheet3"/>
  <dimension ref="B2:O37"/>
  <sheetViews>
    <sheetView zoomScaleNormal="100" workbookViewId="0">
      <selection activeCell="H8" sqref="H8"/>
    </sheetView>
  </sheetViews>
  <sheetFormatPr defaultColWidth="8.81640625" defaultRowHeight="13" x14ac:dyDescent="0.3"/>
  <cols>
    <col min="6" max="6" width="8.7265625" customWidth="1"/>
    <col min="7" max="7" width="14.1796875" customWidth="1"/>
    <col min="8" max="8" width="11.453125" customWidth="1"/>
    <col min="9" max="9" width="14.26953125" customWidth="1"/>
    <col min="10" max="10" width="15.453125" customWidth="1"/>
    <col min="11" max="11" width="10.54296875" customWidth="1"/>
    <col min="12" max="12" width="16.54296875" customWidth="1"/>
    <col min="13" max="13" width="17.1796875" customWidth="1"/>
    <col min="14" max="14" width="6.81640625" customWidth="1"/>
    <col min="15" max="15" width="6.7265625" customWidth="1"/>
    <col min="16" max="16" width="7.26953125" customWidth="1"/>
    <col min="17" max="17" width="7.1796875" customWidth="1"/>
    <col min="18" max="19" width="6.26953125" customWidth="1"/>
    <col min="20" max="21" width="6.1796875" customWidth="1"/>
    <col min="22" max="22" width="6.453125" customWidth="1"/>
    <col min="23" max="23" width="5.54296875" customWidth="1"/>
    <col min="24" max="25" width="5" customWidth="1"/>
    <col min="26" max="26" width="6.453125" customWidth="1"/>
    <col min="27" max="27" width="5.54296875" customWidth="1"/>
    <col min="28" max="28" width="6.81640625" customWidth="1"/>
    <col min="29" max="29" width="5.7265625" customWidth="1"/>
    <col min="30" max="30" width="6.1796875" customWidth="1"/>
    <col min="31" max="31" width="5.81640625" customWidth="1"/>
    <col min="32" max="32" width="5.7265625" customWidth="1"/>
    <col min="33" max="33" width="15.26953125" customWidth="1"/>
  </cols>
  <sheetData>
    <row r="2" spans="2:15" x14ac:dyDescent="0.3">
      <c r="B2" s="194" t="s">
        <v>8</v>
      </c>
      <c r="C2" s="194"/>
      <c r="D2" s="194"/>
      <c r="F2" s="80" t="s">
        <v>22</v>
      </c>
      <c r="G2" s="80" t="s">
        <v>23</v>
      </c>
      <c r="H2" s="80" t="s">
        <v>32</v>
      </c>
      <c r="I2" s="80" t="s">
        <v>24</v>
      </c>
      <c r="J2" s="80" t="s">
        <v>54</v>
      </c>
      <c r="K2" s="80" t="s">
        <v>25</v>
      </c>
      <c r="L2" s="80" t="s">
        <v>55</v>
      </c>
      <c r="M2" s="80" t="s">
        <v>47</v>
      </c>
      <c r="N2" s="80" t="s">
        <v>60</v>
      </c>
      <c r="O2" s="80" t="s">
        <v>61</v>
      </c>
    </row>
    <row r="3" spans="2:15" x14ac:dyDescent="0.3">
      <c r="B3" s="87">
        <v>84</v>
      </c>
      <c r="C3" s="190">
        <v>2300</v>
      </c>
      <c r="D3" s="191"/>
      <c r="F3" s="81" t="s">
        <v>66</v>
      </c>
      <c r="G3" s="81">
        <v>2665.33</v>
      </c>
      <c r="H3" s="81">
        <v>3800</v>
      </c>
      <c r="I3" s="81">
        <v>86.8</v>
      </c>
      <c r="J3" s="81">
        <v>95</v>
      </c>
      <c r="K3" s="81">
        <v>108</v>
      </c>
      <c r="L3" s="81">
        <v>50</v>
      </c>
      <c r="M3" s="81">
        <v>231344.43</v>
      </c>
      <c r="N3" s="81" t="s">
        <v>68</v>
      </c>
      <c r="O3" s="81" t="s">
        <v>69</v>
      </c>
    </row>
    <row r="4" spans="2:15" x14ac:dyDescent="0.3">
      <c r="B4" s="87">
        <v>84</v>
      </c>
      <c r="C4" s="190">
        <v>2800</v>
      </c>
      <c r="D4" s="191"/>
    </row>
    <row r="5" spans="2:15" x14ac:dyDescent="0.3">
      <c r="B5" s="87">
        <v>85</v>
      </c>
      <c r="C5" s="190">
        <v>3400</v>
      </c>
      <c r="D5" s="191"/>
    </row>
    <row r="6" spans="2:15" x14ac:dyDescent="0.3">
      <c r="B6" s="87">
        <v>89</v>
      </c>
      <c r="C6" s="190">
        <v>3800</v>
      </c>
      <c r="D6" s="191"/>
    </row>
    <row r="7" spans="2:15" x14ac:dyDescent="0.3">
      <c r="B7" s="87">
        <v>93</v>
      </c>
      <c r="C7" s="190">
        <v>3800</v>
      </c>
      <c r="D7" s="191"/>
    </row>
    <row r="8" spans="2:15" x14ac:dyDescent="0.3">
      <c r="B8" s="88">
        <v>93</v>
      </c>
      <c r="C8" s="190">
        <v>2300</v>
      </c>
      <c r="D8" s="191"/>
    </row>
    <row r="9" spans="2:15" x14ac:dyDescent="0.3">
      <c r="B9" s="87">
        <v>84</v>
      </c>
      <c r="C9" s="190">
        <v>2300</v>
      </c>
      <c r="D9" s="191"/>
      <c r="F9" s="90"/>
    </row>
    <row r="10" spans="2:15" x14ac:dyDescent="0.3">
      <c r="B10" s="192" t="s">
        <v>10</v>
      </c>
      <c r="C10" s="192"/>
      <c r="D10" s="192"/>
      <c r="F10" s="90"/>
    </row>
    <row r="11" spans="2:15" x14ac:dyDescent="0.3">
      <c r="B11" s="83">
        <f>Seminole!L11</f>
        <v>2665.33</v>
      </c>
      <c r="C11" s="193">
        <f>Seminole!M11</f>
        <v>86.797668581376413</v>
      </c>
      <c r="D11" s="193"/>
      <c r="F11" s="90"/>
    </row>
    <row r="12" spans="2:15" x14ac:dyDescent="0.3">
      <c r="B12" s="83">
        <f>Seminole!L17</f>
        <v>2649.33</v>
      </c>
      <c r="C12" s="193">
        <f>Seminole!M17</f>
        <v>86.748132546719361</v>
      </c>
      <c r="D12" s="193"/>
      <c r="F12" s="90"/>
    </row>
    <row r="13" spans="2:15" x14ac:dyDescent="0.3">
      <c r="B13" s="83">
        <f>Seminole!L15</f>
        <v>2649.33</v>
      </c>
      <c r="C13" s="193">
        <f>Seminole!M15</f>
        <v>86.748132546719361</v>
      </c>
      <c r="D13" s="193"/>
      <c r="F13" s="90"/>
    </row>
    <row r="14" spans="2:15" x14ac:dyDescent="0.3">
      <c r="B14" s="82"/>
      <c r="C14" s="82"/>
      <c r="D14" s="82"/>
    </row>
    <row r="15" spans="2:15" x14ac:dyDescent="0.3">
      <c r="B15" s="197" t="s">
        <v>5</v>
      </c>
      <c r="C15" s="198"/>
      <c r="D15" s="199"/>
    </row>
    <row r="16" spans="2:15" x14ac:dyDescent="0.3">
      <c r="B16" s="84">
        <f>VLOOKUP(Seminole!J4, Data!F3:M3, 3, FALSE)</f>
        <v>3800</v>
      </c>
      <c r="C16" s="195" t="s">
        <v>11</v>
      </c>
      <c r="D16" s="196"/>
      <c r="F16" s="90"/>
    </row>
    <row r="17" spans="2:6" x14ac:dyDescent="0.3">
      <c r="B17" s="84">
        <f>VLOOKUP(Seminole!J4, Data!F3:M3, 2, FALSE)</f>
        <v>2665.33</v>
      </c>
      <c r="C17" s="195" t="s">
        <v>12</v>
      </c>
      <c r="D17" s="196"/>
      <c r="F17" s="90"/>
    </row>
    <row r="18" spans="2:6" x14ac:dyDescent="0.3">
      <c r="B18" s="85">
        <v>200</v>
      </c>
      <c r="C18" s="195" t="s">
        <v>56</v>
      </c>
      <c r="D18" s="196"/>
      <c r="F18" s="90"/>
    </row>
    <row r="19" spans="2:6" x14ac:dyDescent="0.3">
      <c r="B19" s="85">
        <v>100</v>
      </c>
      <c r="C19" s="195" t="s">
        <v>51</v>
      </c>
      <c r="D19" s="196"/>
      <c r="F19" s="90"/>
    </row>
    <row r="20" spans="2:6" x14ac:dyDescent="0.3">
      <c r="B20" s="84">
        <f>VLOOKUP(Seminole!J4, Data!F3:M3, 6, FALSE)</f>
        <v>108</v>
      </c>
      <c r="C20" s="195" t="s">
        <v>13</v>
      </c>
      <c r="D20" s="196"/>
      <c r="F20" s="90"/>
    </row>
    <row r="21" spans="2:6" x14ac:dyDescent="0.3">
      <c r="B21" s="84">
        <f>VLOOKUP(Seminole!J4, Data!F3:M3, 7, FALSE)</f>
        <v>50</v>
      </c>
      <c r="C21" s="195" t="s">
        <v>57</v>
      </c>
      <c r="D21" s="196"/>
    </row>
    <row r="23" spans="2:6" x14ac:dyDescent="0.3">
      <c r="B23" s="80" t="s">
        <v>28</v>
      </c>
    </row>
    <row r="24" spans="2:6" x14ac:dyDescent="0.3">
      <c r="B24" s="81" t="s">
        <v>43</v>
      </c>
    </row>
    <row r="25" spans="2:6" x14ac:dyDescent="0.3">
      <c r="B25" s="81" t="s">
        <v>26</v>
      </c>
    </row>
    <row r="26" spans="2:6" x14ac:dyDescent="0.3">
      <c r="B26" s="81" t="s">
        <v>27</v>
      </c>
    </row>
    <row r="30" spans="2:6" x14ac:dyDescent="0.3">
      <c r="B30" s="81" t="s">
        <v>36</v>
      </c>
      <c r="C30" s="81" t="b">
        <f>Seminole!M17&lt;B3</f>
        <v>0</v>
      </c>
    </row>
    <row r="31" spans="2:6" x14ac:dyDescent="0.3">
      <c r="B31" s="81" t="s">
        <v>37</v>
      </c>
      <c r="C31" s="81" t="b">
        <f>OR(AND(Seminole!G17&lt;C7,Seminole!G17&gt;(C5+(C7-C5)*(Seminole!H17-B5)/(B7-B5))))</f>
        <v>1</v>
      </c>
    </row>
    <row r="32" spans="2:6" x14ac:dyDescent="0.3">
      <c r="B32" s="81" t="s">
        <v>38</v>
      </c>
      <c r="C32" s="81" t="b">
        <f>OR(AND(Seminole!G17&lt;C7,Seminole!G17&gt;(C7+(C7-C6)*(Seminole!H17-B6)/(B7-B6))))</f>
        <v>0</v>
      </c>
    </row>
    <row r="35" spans="2:3" x14ac:dyDescent="0.3">
      <c r="B35" s="80" t="s">
        <v>52</v>
      </c>
      <c r="C35" s="80"/>
    </row>
    <row r="36" spans="2:3" x14ac:dyDescent="0.3">
      <c r="B36" s="81">
        <v>108</v>
      </c>
      <c r="C36" s="81">
        <v>3500</v>
      </c>
    </row>
    <row r="37" spans="2:3" x14ac:dyDescent="0.3">
      <c r="B37" s="81">
        <v>117.5</v>
      </c>
      <c r="C37" s="81">
        <v>3500</v>
      </c>
    </row>
  </sheetData>
  <sheetProtection algorithmName="SHA-512" hashValue="3zxAYlBTH/wLxgM2BjCGQ9m3Q0TBlAFlRNrsXnKqDlnvgZr7QCSY0vLphBCicpQ92F+GO5TZ1wWTy+OvW/1tuQ==" saltValue="aJ+6Yxiq+F3nRJjirbuUGg==" spinCount="100000" sheet="1" objects="1" scenarios="1" selectLockedCells="1" selectUnlockedCells="1"/>
  <mergeCells count="19">
    <mergeCell ref="C20:D20"/>
    <mergeCell ref="B15:D15"/>
    <mergeCell ref="C19:D19"/>
    <mergeCell ref="C21:D21"/>
    <mergeCell ref="C17:D17"/>
    <mergeCell ref="C18:D18"/>
    <mergeCell ref="C16:D16"/>
    <mergeCell ref="C7:D7"/>
    <mergeCell ref="C8:D8"/>
    <mergeCell ref="B2:D2"/>
    <mergeCell ref="C3:D3"/>
    <mergeCell ref="C5:D5"/>
    <mergeCell ref="C6:D6"/>
    <mergeCell ref="C4:D4"/>
    <mergeCell ref="C9:D9"/>
    <mergeCell ref="B10:D10"/>
    <mergeCell ref="C11:D11"/>
    <mergeCell ref="C12:D12"/>
    <mergeCell ref="C13:D1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Seminole</vt:lpstr>
      <vt:lpstr>Changelog</vt:lpstr>
      <vt:lpstr>Data</vt:lpstr>
      <vt:lpstr>idents</vt:lpstr>
      <vt:lpstr>Seminole!Print_Area</vt:lpstr>
    </vt:vector>
  </TitlesOfParts>
  <Manager/>
  <Company>Pacific Professional Flight Centre</Company>
  <LinksUpToDate>false</LinksUpToDate>
  <SharedDoc>false</SharedDoc>
  <HyperlinkBase>www.proifr.com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Seminole PA-44 Weight &amp; Balance Calculator</dc:title>
  <dc:subject>Weight and Balance Calculator</dc:subject>
  <dc:creator>info@proifr.com</dc:creator>
  <cp:keywords/>
  <dc:description>For use by pilots and students at Pacific Professional Flight Centre</dc:description>
  <cp:lastModifiedBy>Jia Gong</cp:lastModifiedBy>
  <cp:lastPrinted>2023-06-14T06:45:41Z</cp:lastPrinted>
  <dcterms:created xsi:type="dcterms:W3CDTF">2020-04-27T03:19:42Z</dcterms:created>
  <dcterms:modified xsi:type="dcterms:W3CDTF">2024-03-08T16:53:08Z</dcterms:modified>
  <cp:contentStatus>Released</cp:contentStatus>
</cp:coreProperties>
</file>