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PPFC\Admin and Dispatch\Electronic W &amp; B\Release Candidate\"/>
    </mc:Choice>
  </mc:AlternateContent>
  <xr:revisionPtr revIDLastSave="0" documentId="13_ncr:1_{00690732-7110-43F3-B0EE-388A1D758F1E}" xr6:coauthVersionLast="47" xr6:coauthVersionMax="47" xr10:uidLastSave="{00000000-0000-0000-0000-000000000000}"/>
  <bookViews>
    <workbookView xWindow="34290" yWindow="-110" windowWidth="34620" windowHeight="14620" xr2:uid="{00000000-000D-0000-FFFF-FFFF00000000}"/>
  </bookViews>
  <sheets>
    <sheet name="C152" sheetId="1" r:id="rId1"/>
    <sheet name="Changelogs" sheetId="3" r:id="rId2"/>
    <sheet name="Data" sheetId="2" state="hidden" r:id="rId3"/>
  </sheets>
  <definedNames>
    <definedName name="idents">Data!$F$3:$F$10</definedName>
    <definedName name="_xlnm.Print_Area" localSheetId="0">'C152'!$B$1:$J$52,'C152'!$B$104:$L$150</definedName>
    <definedName name="Z_19898B3C_F880_11DE_A5CE_0026BB674B30_.wvu.Cols" localSheetId="0" hidden="1">'C152'!$J:$M</definedName>
    <definedName name="Z_19898B3C_F880_11DE_A5CE_0026BB674B30_.wvu.PrintArea" localSheetId="0" hidden="1">'C152'!$B$2:$O$56</definedName>
  </definedNames>
  <calcPr calcId="191029"/>
  <customWorkbookViews>
    <customWorkbookView name="main view" guid="{19898B3C-F880-11DE-A5CE-0026BB674B30}" showHorizontalScroll="0" showVerticalScroll="0" showSheetTabs="0" xWindow="50" yWindow="23" windowWidth="1722" windowHeight="853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25" i="1"/>
  <c r="E21" i="1"/>
  <c r="H16" i="1" l="1"/>
  <c r="H14" i="1"/>
  <c r="H13" i="1"/>
  <c r="I7" i="1"/>
  <c r="H7" i="1"/>
  <c r="G7" i="1"/>
  <c r="B20" i="2"/>
  <c r="B17" i="2"/>
  <c r="B16" i="2"/>
  <c r="E1" i="1" l="1"/>
  <c r="D25" i="1" l="1"/>
  <c r="D27" i="1" l="1"/>
  <c r="D15" i="1" l="1"/>
  <c r="G9" i="1" l="1"/>
  <c r="G16" i="1" l="1"/>
  <c r="I16" i="1" s="1"/>
  <c r="G10" i="1"/>
  <c r="I10" i="1" s="1"/>
  <c r="I9" i="1"/>
  <c r="G8" i="1"/>
  <c r="G11" i="1"/>
  <c r="I11" i="1" s="1"/>
  <c r="G13" i="1"/>
  <c r="I13" i="1" s="1"/>
  <c r="I14" i="1"/>
  <c r="G12" i="1" l="1"/>
  <c r="I8" i="1"/>
  <c r="B11" i="2" l="1"/>
  <c r="G15" i="1"/>
  <c r="I12" i="1"/>
  <c r="F18" i="1" l="1"/>
  <c r="D18" i="1"/>
  <c r="B13" i="2"/>
  <c r="H12" i="1"/>
  <c r="G17" i="1"/>
  <c r="I15" i="1"/>
  <c r="D24" i="1" l="1"/>
  <c r="H15" i="1"/>
  <c r="C13" i="2" s="1"/>
  <c r="I17" i="1"/>
  <c r="H17" i="1" s="1"/>
  <c r="B12" i="2"/>
  <c r="C11" i="2"/>
  <c r="Y3" i="2" l="1"/>
  <c r="Y4" i="2"/>
  <c r="Y5" i="2"/>
  <c r="C12" i="2"/>
  <c r="D26" i="1" l="1"/>
</calcChain>
</file>

<file path=xl/sharedStrings.xml><?xml version="1.0" encoding="utf-8"?>
<sst xmlns="http://schemas.openxmlformats.org/spreadsheetml/2006/main" count="145" uniqueCount="137">
  <si>
    <t>Qty</t>
  </si>
  <si>
    <t>Weight</t>
  </si>
  <si>
    <t>Arm</t>
  </si>
  <si>
    <t>Moment</t>
  </si>
  <si>
    <t>Basic Empty Weight</t>
  </si>
  <si>
    <t>Pilot</t>
  </si>
  <si>
    <t>Co-Pilot</t>
  </si>
  <si>
    <t>Aircraft Specifications</t>
  </si>
  <si>
    <t>Fuel Allowance for taxi/runup</t>
  </si>
  <si>
    <t xml:space="preserve"> </t>
  </si>
  <si>
    <t>* The maximum allowable weight in baggage area 1 &amp; 2 combined is 120 lbs</t>
  </si>
  <si>
    <t>Zero Fuel</t>
  </si>
  <si>
    <t>Landing Weight</t>
  </si>
  <si>
    <t>WB Graph Envelope (Red)</t>
  </si>
  <si>
    <t>C-GFBB</t>
  </si>
  <si>
    <t>C-GBXJ</t>
  </si>
  <si>
    <t>C-GZSP</t>
  </si>
  <si>
    <t>C-GQSS</t>
  </si>
  <si>
    <t>C-FIBX</t>
  </si>
  <si>
    <t>C-GJKE</t>
  </si>
  <si>
    <t>C-GBJD</t>
  </si>
  <si>
    <t>C-GVNU</t>
  </si>
  <si>
    <t>Cessna 152</t>
  </si>
  <si>
    <t>Weight and Balance Worksheet</t>
  </si>
  <si>
    <t>WB Moment Graph Points</t>
  </si>
  <si>
    <t>Maximum gross weight</t>
  </si>
  <si>
    <t>Basic empty weight</t>
  </si>
  <si>
    <t>Fuel max gal</t>
  </si>
  <si>
    <t>Fuel Min gal</t>
  </si>
  <si>
    <t xml:space="preserve"> Trainee's Acknowledgement:</t>
  </si>
  <si>
    <t xml:space="preserve"> Instructor's Name:</t>
  </si>
  <si>
    <t xml:space="preserve"> Flight Instructor's Authorization:</t>
  </si>
  <si>
    <t xml:space="preserve"> Pre-Flight Inspection and Breifing Completed:</t>
  </si>
  <si>
    <t>Passenger Initials</t>
  </si>
  <si>
    <t>Student Initials</t>
  </si>
  <si>
    <t>Instructor Initials</t>
  </si>
  <si>
    <t>Flight Authorization</t>
  </si>
  <si>
    <t>!!! Warning Messages !!!</t>
  </si>
  <si>
    <r>
      <t xml:space="preserve">Baggage Area 1 </t>
    </r>
    <r>
      <rPr>
        <sz val="8"/>
        <color theme="4" tint="-0.249977111117893"/>
        <rFont val="Arial"/>
        <family val="2"/>
      </rPr>
      <t>(120 lbs max)</t>
    </r>
  </si>
  <si>
    <r>
      <t xml:space="preserve">Baggage Area 2 </t>
    </r>
    <r>
      <rPr>
        <sz val="8"/>
        <color theme="4" tint="-0.249977111117893"/>
        <rFont val="Arial"/>
        <family val="2"/>
      </rPr>
      <t>(40 lbs Max)</t>
    </r>
  </si>
  <si>
    <t>Fuel Arm</t>
  </si>
  <si>
    <t>Ident</t>
  </si>
  <si>
    <t>Empty Weight</t>
  </si>
  <si>
    <t>Empty Arm</t>
  </si>
  <si>
    <t>Baggage maximum 1</t>
  </si>
  <si>
    <t>Baggage maximum 2</t>
  </si>
  <si>
    <t>Maximum Weight</t>
  </si>
  <si>
    <t>Max Fuel</t>
  </si>
  <si>
    <t>Landing</t>
  </si>
  <si>
    <t>Takeoff</t>
  </si>
  <si>
    <t>Chart Label</t>
  </si>
  <si>
    <t xml:space="preserve"> Date:</t>
  </si>
  <si>
    <t>Date</t>
  </si>
  <si>
    <t>Version</t>
  </si>
  <si>
    <t>Changes</t>
  </si>
  <si>
    <t>152.0.0.1</t>
  </si>
  <si>
    <t>ZFW</t>
  </si>
  <si>
    <t>W&amp;B Data Calculated at:</t>
  </si>
  <si>
    <t>Both instructor and student acknowledge that this flight will be carried out according to Professional Flight Centre's rules and will obey all Canadian Aviaiton Regualations</t>
  </si>
  <si>
    <t>2. Edited Fuel Onboard wording</t>
  </si>
  <si>
    <t>3. Edited Weight Limit Warning Message</t>
  </si>
  <si>
    <t>4. Edited Fuel Limit Warning Message</t>
  </si>
  <si>
    <t>152.0.0.2</t>
  </si>
  <si>
    <t>1. Added ZFW point to CoG plot</t>
  </si>
  <si>
    <t>152.0.0.3</t>
  </si>
  <si>
    <t>1. Removed all Macros</t>
  </si>
  <si>
    <t>2. Correct typo in Flight Authorization Message</t>
  </si>
  <si>
    <t>5. Correct a miscalculation in Underweight value</t>
  </si>
  <si>
    <t>1. Initial version with up-to-date airplane weight and CG data</t>
  </si>
  <si>
    <t>152.0.0.4</t>
  </si>
  <si>
    <t>1. Corrected fuel allowance for taxi to 4.8lb</t>
  </si>
  <si>
    <t>152.0.0.5</t>
  </si>
  <si>
    <t>1. Corrected JKE's Fuel Arm to 39.5</t>
  </si>
  <si>
    <t>Empty Moment</t>
  </si>
  <si>
    <t>152.0.0.6</t>
  </si>
  <si>
    <t>1. Updated aircraft empty weight, empty arm and empty moment according to Journey Log/WnB report</t>
  </si>
  <si>
    <t>152.0.0.7</t>
  </si>
  <si>
    <t>1. Updated IBX's empty aircraft weight, empty arm and empty moment</t>
  </si>
  <si>
    <t>152.0.0.8</t>
  </si>
  <si>
    <r>
      <t xml:space="preserve">Fuel Burn in gal </t>
    </r>
    <r>
      <rPr>
        <sz val="8"/>
        <color theme="4" tint="-0.249977111117893"/>
        <rFont val="Arial"/>
        <family val="2"/>
      </rPr>
      <t>(US GAL)</t>
    </r>
  </si>
  <si>
    <r>
      <t xml:space="preserve">Fuel Onboard </t>
    </r>
    <r>
      <rPr>
        <sz val="8"/>
        <color theme="4" tint="-0.249977111117893"/>
        <rFont val="Arial"/>
        <family val="2"/>
      </rPr>
      <t>(US GAL)</t>
    </r>
  </si>
  <si>
    <t>1. Change fuel burn wording from 6 lbs / US gal to US GAL</t>
  </si>
  <si>
    <t>2. Added Flight Planning Sheet as 2nd page to print</t>
  </si>
  <si>
    <t>Following (Non-Editable) Sheet Will be Printed as Second Page</t>
  </si>
  <si>
    <t>152.0.0.9</t>
  </si>
  <si>
    <t>1. Underweight and overweight message was not displayed correctly sometimes</t>
  </si>
  <si>
    <t>152.0.0.10</t>
  </si>
  <si>
    <t>1. Fix a small discrepency in ZSP's empty weight</t>
  </si>
  <si>
    <t>152.0.0.11</t>
  </si>
  <si>
    <t xml:space="preserve">1. Updated Empty Weight Data for FIBX </t>
  </si>
  <si>
    <t>Oil Min</t>
  </si>
  <si>
    <t>Oil Max</t>
  </si>
  <si>
    <t>152.0.0.12</t>
  </si>
  <si>
    <t>1. Added Oil Information Based on POH</t>
  </si>
  <si>
    <t>Aircraft Oil Requirements</t>
  </si>
  <si>
    <t>Minimum (Based on POH)</t>
  </si>
  <si>
    <t>Maximum (Based on POH)</t>
  </si>
  <si>
    <t>C-GZTZ</t>
  </si>
  <si>
    <t>152.0.0.13</t>
  </si>
  <si>
    <t>152.0.0.14</t>
  </si>
  <si>
    <t>1. Added New Aircraft C-GZTZ</t>
  </si>
  <si>
    <t>Version Bump Up</t>
  </si>
  <si>
    <t>152.0.0.15</t>
  </si>
  <si>
    <t>1. Added New Aircraft C-GVVG</t>
  </si>
  <si>
    <t>C-GVVG</t>
  </si>
  <si>
    <t>2. Updated Pre-Flight Planning Worksheet</t>
  </si>
  <si>
    <t>15.0.0.16</t>
  </si>
  <si>
    <t>1. C-GVVG Weight Data Updated</t>
  </si>
  <si>
    <t>15.0.0.17</t>
  </si>
  <si>
    <t>15.0.0.18</t>
  </si>
  <si>
    <t>15.0.0.19</t>
  </si>
  <si>
    <t>1. C-GVVG Data Updated</t>
  </si>
  <si>
    <t>15.0.0.20</t>
  </si>
  <si>
    <t>1. Updated PRE-FLIGHT PLANNING WORKSHEET</t>
  </si>
  <si>
    <t>15.0.0.21</t>
  </si>
  <si>
    <t>1. Correct typo in Flight Planning Worksheet</t>
  </si>
  <si>
    <t>15.0.0.22</t>
  </si>
  <si>
    <t>1. C-GQSS Weight Data Updated</t>
  </si>
  <si>
    <t>15.0.0.23</t>
  </si>
  <si>
    <t>1. C-FIBX Weight Data Updated</t>
  </si>
  <si>
    <t>15.0.0.24</t>
  </si>
  <si>
    <t>1. C-GZTZ Weight Data Updated</t>
  </si>
  <si>
    <t>Measured Oil Level (quarts)</t>
  </si>
  <si>
    <t>15.0.0.25</t>
  </si>
  <si>
    <t>1. Added Field for Oil Level</t>
  </si>
  <si>
    <t>15.0.0.26</t>
  </si>
  <si>
    <t>15.0.0.27</t>
  </si>
  <si>
    <t>1. C-GBXJ Weight Data Updated</t>
  </si>
  <si>
    <t>15.0.0.28</t>
  </si>
  <si>
    <t>15.0.0.29</t>
  </si>
  <si>
    <t>15.0.0.30</t>
  </si>
  <si>
    <t>15.0.0.31</t>
  </si>
  <si>
    <t>15.0.0.32</t>
  </si>
  <si>
    <t>1. C-GVNU Weight Data Updated</t>
  </si>
  <si>
    <t>15.0.0.33</t>
  </si>
  <si>
    <t>1. C-GFBB Weight Data Updated</t>
  </si>
  <si>
    <t>Ver. 152.0.0.33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</si>
</sst>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[Red]0.0"/>
    <numFmt numFmtId="166" formatCode="m/d/yyyy\ hh:mm:ss\ AM/PM"/>
  </numFmts>
  <fonts count="39" x14ac:knownFonts="1">
    <font>
      <sz val="10"/>
      <name val="MS Sans Serif"/>
    </font>
    <font>
      <sz val="8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20"/>
      <name val="Arial"/>
      <family val="2"/>
    </font>
    <font>
      <sz val="10"/>
      <color indexed="18"/>
      <name val="MS Sans Serif"/>
    </font>
    <font>
      <sz val="10"/>
      <name val="MS Sans Serif"/>
    </font>
    <font>
      <i/>
      <sz val="8"/>
      <color indexed="18"/>
      <name val="Arial"/>
      <family val="2"/>
    </font>
    <font>
      <i/>
      <sz val="10"/>
      <color indexed="18"/>
      <name val="MS Sans Serif"/>
    </font>
    <font>
      <sz val="10"/>
      <name val="MS Sans Serif"/>
    </font>
    <font>
      <sz val="10"/>
      <name val="Courier New"/>
      <family val="3"/>
    </font>
    <font>
      <sz val="8"/>
      <color indexed="8"/>
      <name val="Arial"/>
      <family val="2"/>
    </font>
    <font>
      <i/>
      <sz val="8"/>
      <color indexed="32"/>
      <name val="Arial"/>
      <family val="2"/>
    </font>
    <font>
      <b/>
      <sz val="8"/>
      <color theme="1"/>
      <name val="Arial"/>
      <family val="2"/>
    </font>
    <font>
      <sz val="8"/>
      <color theme="4"/>
      <name val="Arial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1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14"/>
      <name val="Arial Black"/>
      <family val="2"/>
    </font>
    <font>
      <sz val="10"/>
      <name val="Arial"/>
      <family val="2"/>
    </font>
    <font>
      <sz val="5"/>
      <name val="Arial"/>
      <family val="2"/>
    </font>
    <font>
      <b/>
      <u/>
      <sz val="10"/>
      <name val="Arial"/>
      <family val="2"/>
    </font>
    <font>
      <sz val="13"/>
      <name val="Arial"/>
      <family val="2"/>
    </font>
    <font>
      <sz val="4"/>
      <name val="Arial"/>
      <family val="2"/>
    </font>
    <font>
      <sz val="9.5"/>
      <name val="Arial"/>
      <family val="2"/>
    </font>
    <font>
      <i/>
      <sz val="10"/>
      <color theme="0"/>
      <name val="Arial Black"/>
      <family val="2"/>
    </font>
    <font>
      <b/>
      <sz val="10"/>
      <name val="MS Sans Serif"/>
    </font>
    <font>
      <sz val="8"/>
      <name val="Calibri Light"/>
      <family val="2"/>
      <scheme val="major"/>
    </font>
    <font>
      <b/>
      <sz val="9"/>
      <name val="Arial"/>
      <family val="2"/>
    </font>
    <font>
      <sz val="8"/>
      <name val="MS Sans Serif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8" xfId="0" applyFont="1" applyFill="1" applyBorder="1"/>
    <xf numFmtId="0" fontId="1" fillId="2" borderId="5" xfId="0" applyFont="1" applyFill="1" applyBorder="1"/>
    <xf numFmtId="0" fontId="13" fillId="2" borderId="5" xfId="0" applyFont="1" applyFill="1" applyBorder="1"/>
    <xf numFmtId="0" fontId="1" fillId="2" borderId="4" xfId="0" applyFont="1" applyFill="1" applyBorder="1"/>
    <xf numFmtId="1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14" xfId="0" applyFont="1" applyFill="1" applyBorder="1"/>
    <xf numFmtId="0" fontId="3" fillId="2" borderId="14" xfId="0" applyFont="1" applyFill="1" applyBorder="1" applyAlignment="1">
      <alignment horizontal="right"/>
    </xf>
    <xf numFmtId="0" fontId="1" fillId="2" borderId="8" xfId="0" applyFont="1" applyFill="1" applyBorder="1"/>
    <xf numFmtId="165" fontId="1" fillId="2" borderId="11" xfId="0" applyNumberFormat="1" applyFont="1" applyFill="1" applyBorder="1"/>
    <xf numFmtId="0" fontId="1" fillId="2" borderId="11" xfId="0" applyFont="1" applyFill="1" applyBorder="1"/>
    <xf numFmtId="2" fontId="1" fillId="2" borderId="0" xfId="0" applyNumberFormat="1" applyFont="1" applyFill="1"/>
    <xf numFmtId="2" fontId="1" fillId="2" borderId="11" xfId="0" applyNumberFormat="1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5" fillId="2" borderId="12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2" xfId="0" applyFont="1" applyFill="1" applyBorder="1"/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" fillId="2" borderId="6" xfId="0" applyFont="1" applyFill="1" applyBorder="1"/>
    <xf numFmtId="0" fontId="12" fillId="2" borderId="0" xfId="0" applyFont="1" applyFill="1"/>
    <xf numFmtId="0" fontId="12" fillId="2" borderId="0" xfId="0" quotePrefix="1" applyFont="1" applyFill="1" applyAlignment="1">
      <alignment wrapText="1"/>
    </xf>
    <xf numFmtId="164" fontId="12" fillId="2" borderId="0" xfId="0" applyNumberFormat="1" applyFont="1" applyFill="1"/>
    <xf numFmtId="0" fontId="1" fillId="2" borderId="13" xfId="0" applyFont="1" applyFill="1" applyBorder="1"/>
    <xf numFmtId="0" fontId="12" fillId="2" borderId="13" xfId="0" applyFont="1" applyFill="1" applyBorder="1"/>
    <xf numFmtId="0" fontId="1" fillId="2" borderId="3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3" fillId="2" borderId="0" xfId="0" applyFont="1" applyFill="1"/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7" xfId="0" applyFont="1" applyFill="1" applyBorder="1"/>
    <xf numFmtId="1" fontId="10" fillId="2" borderId="13" xfId="0" applyNumberFormat="1" applyFont="1" applyFill="1" applyBorder="1"/>
    <xf numFmtId="0" fontId="3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1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1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" fillId="3" borderId="14" xfId="0" applyFont="1" applyFill="1" applyBorder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center" vertical="center"/>
    </xf>
    <xf numFmtId="164" fontId="1" fillId="3" borderId="14" xfId="0" applyNumberFormat="1" applyFont="1" applyFill="1" applyBorder="1"/>
    <xf numFmtId="2" fontId="1" fillId="3" borderId="14" xfId="0" applyNumberFormat="1" applyFont="1" applyFill="1" applyBorder="1"/>
    <xf numFmtId="3" fontId="15" fillId="3" borderId="14" xfId="0" applyNumberFormat="1" applyFont="1" applyFill="1" applyBorder="1"/>
    <xf numFmtId="3" fontId="14" fillId="3" borderId="14" xfId="0" applyNumberFormat="1" applyFont="1" applyFill="1" applyBorder="1"/>
    <xf numFmtId="3" fontId="3" fillId="3" borderId="14" xfId="0" applyNumberFormat="1" applyFont="1" applyFill="1" applyBorder="1"/>
    <xf numFmtId="0" fontId="15" fillId="3" borderId="14" xfId="0" applyFont="1" applyFill="1" applyBorder="1"/>
    <xf numFmtId="164" fontId="15" fillId="3" borderId="14" xfId="0" applyNumberFormat="1" applyFont="1" applyFill="1" applyBorder="1"/>
    <xf numFmtId="164" fontId="14" fillId="3" borderId="14" xfId="0" applyNumberFormat="1" applyFont="1" applyFill="1" applyBorder="1"/>
    <xf numFmtId="164" fontId="3" fillId="3" borderId="14" xfId="0" applyNumberFormat="1" applyFont="1" applyFill="1" applyBorder="1"/>
    <xf numFmtId="0" fontId="1" fillId="2" borderId="15" xfId="0" applyFont="1" applyFill="1" applyBorder="1"/>
    <xf numFmtId="15" fontId="0" fillId="0" borderId="0" xfId="0" applyNumberFormat="1"/>
    <xf numFmtId="0" fontId="32" fillId="0" borderId="0" xfId="0" applyFont="1"/>
    <xf numFmtId="0" fontId="0" fillId="0" borderId="0" xfId="0" applyAlignment="1">
      <alignment horizontal="left"/>
    </xf>
    <xf numFmtId="4" fontId="1" fillId="3" borderId="14" xfId="0" applyNumberFormat="1" applyFont="1" applyFill="1" applyBorder="1"/>
    <xf numFmtId="0" fontId="0" fillId="2" borderId="0" xfId="0" applyFill="1"/>
    <xf numFmtId="0" fontId="32" fillId="2" borderId="14" xfId="0" applyFont="1" applyFill="1" applyBorder="1"/>
    <xf numFmtId="1" fontId="33" fillId="2" borderId="14" xfId="0" applyNumberFormat="1" applyFont="1" applyFill="1" applyBorder="1" applyAlignment="1">
      <alignment horizontal="center"/>
    </xf>
    <xf numFmtId="0" fontId="0" fillId="2" borderId="14" xfId="0" applyFill="1" applyBorder="1"/>
    <xf numFmtId="0" fontId="17" fillId="2" borderId="0" xfId="0" applyFont="1" applyFill="1"/>
    <xf numFmtId="0" fontId="17" fillId="2" borderId="14" xfId="0" applyFont="1" applyFill="1" applyBorder="1"/>
    <xf numFmtId="164" fontId="17" fillId="2" borderId="14" xfId="0" applyNumberFormat="1" applyFont="1" applyFill="1" applyBorder="1"/>
    <xf numFmtId="1" fontId="17" fillId="2" borderId="14" xfId="0" applyNumberFormat="1" applyFont="1" applyFill="1" applyBorder="1"/>
    <xf numFmtId="0" fontId="0" fillId="2" borderId="0" xfId="0" quotePrefix="1" applyFill="1"/>
    <xf numFmtId="0" fontId="34" fillId="2" borderId="14" xfId="0" applyFont="1" applyFill="1" applyBorder="1" applyAlignment="1">
      <alignment horizontal="center" vertical="center"/>
    </xf>
    <xf numFmtId="164" fontId="0" fillId="2" borderId="14" xfId="0" applyNumberFormat="1" applyFill="1" applyBorder="1"/>
    <xf numFmtId="0" fontId="34" fillId="3" borderId="14" xfId="0" applyFont="1" applyFill="1" applyBorder="1" applyAlignment="1">
      <alignment horizontal="center" vertical="center"/>
    </xf>
    <xf numFmtId="0" fontId="37" fillId="2" borderId="8" xfId="0" applyFont="1" applyFill="1" applyBorder="1"/>
    <xf numFmtId="0" fontId="37" fillId="2" borderId="7" xfId="0" applyFont="1" applyFill="1" applyBorder="1"/>
    <xf numFmtId="0" fontId="38" fillId="2" borderId="0" xfId="0" applyFont="1" applyFill="1"/>
    <xf numFmtId="0" fontId="36" fillId="0" borderId="16" xfId="0" applyFont="1" applyBorder="1" applyAlignment="1" applyProtection="1">
      <alignment horizontal="center"/>
      <protection locked="0"/>
    </xf>
    <xf numFmtId="0" fontId="36" fillId="0" borderId="17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/>
    <xf numFmtId="0" fontId="1" fillId="2" borderId="11" xfId="0" applyFont="1" applyFill="1" applyBorder="1"/>
    <xf numFmtId="0" fontId="1" fillId="2" borderId="7" xfId="0" applyFont="1" applyFill="1" applyBorder="1"/>
    <xf numFmtId="0" fontId="1" fillId="2" borderId="12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14" xfId="0" applyFont="1" applyFill="1" applyBorder="1" applyAlignment="1">
      <alignment horizontal="left"/>
    </xf>
    <xf numFmtId="0" fontId="1" fillId="2" borderId="14" xfId="0" applyFont="1" applyFill="1" applyBorder="1" applyAlignment="1" applyProtection="1">
      <alignment horizontal="left"/>
      <protection locked="0"/>
    </xf>
    <xf numFmtId="166" fontId="1" fillId="0" borderId="13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7" xfId="0" applyFont="1" applyBorder="1"/>
    <xf numFmtId="0" fontId="1" fillId="0" borderId="12" xfId="0" applyFont="1" applyBorder="1"/>
    <xf numFmtId="0" fontId="18" fillId="3" borderId="15" xfId="0" applyFont="1" applyFill="1" applyBorder="1" applyAlignment="1">
      <alignment horizontal="center"/>
    </xf>
    <xf numFmtId="0" fontId="18" fillId="3" borderId="16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21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 applyProtection="1">
      <alignment horizontal="center" wrapText="1"/>
      <protection locked="0"/>
    </xf>
    <xf numFmtId="0" fontId="20" fillId="2" borderId="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36" fillId="3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1" fillId="2" borderId="0" xfId="0" applyFont="1" applyFill="1" applyAlignment="1">
      <alignment horizontal="left" vertical="center"/>
    </xf>
    <xf numFmtId="0" fontId="1" fillId="3" borderId="15" xfId="0" applyFont="1" applyFill="1" applyBorder="1"/>
    <xf numFmtId="0" fontId="1" fillId="3" borderId="17" xfId="0" applyFont="1" applyFill="1" applyBorder="1"/>
    <xf numFmtId="0" fontId="15" fillId="2" borderId="15" xfId="0" applyFont="1" applyFill="1" applyBorder="1" applyProtection="1">
      <protection locked="0"/>
    </xf>
    <xf numFmtId="0" fontId="15" fillId="2" borderId="17" xfId="0" applyFont="1" applyFill="1" applyBorder="1" applyProtection="1">
      <protection locked="0"/>
    </xf>
    <xf numFmtId="0" fontId="14" fillId="3" borderId="15" xfId="0" applyFont="1" applyFill="1" applyBorder="1"/>
    <xf numFmtId="0" fontId="14" fillId="3" borderId="17" xfId="0" applyFont="1" applyFill="1" applyBorder="1"/>
    <xf numFmtId="0" fontId="15" fillId="3" borderId="15" xfId="0" applyFont="1" applyFill="1" applyBorder="1"/>
    <xf numFmtId="0" fontId="15" fillId="3" borderId="1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3" fillId="2" borderId="15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16" fillId="2" borderId="14" xfId="0" applyFont="1" applyFill="1" applyBorder="1"/>
    <xf numFmtId="0" fontId="17" fillId="2" borderId="15" xfId="0" quotePrefix="1" applyFont="1" applyFill="1" applyBorder="1" applyAlignment="1">
      <alignment horizontal="center"/>
    </xf>
    <xf numFmtId="0" fontId="17" fillId="2" borderId="17" xfId="0" quotePrefix="1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left"/>
    </xf>
    <xf numFmtId="0" fontId="16" fillId="2" borderId="16" xfId="0" applyFont="1" applyFill="1" applyBorder="1" applyAlignment="1">
      <alignment horizontal="left"/>
    </xf>
    <xf numFmtId="0" fontId="16" fillId="2" borderId="17" xfId="0" applyFont="1" applyFill="1" applyBorder="1" applyAlignment="1">
      <alignment horizontal="left"/>
    </xf>
  </cellXfs>
  <cellStyles count="1">
    <cellStyle name="Normal" xfId="0" builtinId="0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46953302993696"/>
          <c:y val="5.0209316155769887E-2"/>
          <c:w val="0.74718121663125447"/>
          <c:h val="0.8177361558644433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Data!$B$3:$B$8</c:f>
              <c:numCache>
                <c:formatCode>0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32.6</c:v>
                </c:pt>
                <c:pt idx="4">
                  <c:v>36.5</c:v>
                </c:pt>
                <c:pt idx="5">
                  <c:v>36.5</c:v>
                </c:pt>
              </c:numCache>
            </c:numRef>
          </c:xVal>
          <c:yVal>
            <c:numRef>
              <c:f>Data!$C$3:$C$8</c:f>
              <c:numCache>
                <c:formatCode>General</c:formatCode>
                <c:ptCount val="6"/>
                <c:pt idx="0">
                  <c:v>1000</c:v>
                </c:pt>
                <c:pt idx="1">
                  <c:v>1350</c:v>
                </c:pt>
                <c:pt idx="2">
                  <c:v>1540</c:v>
                </c:pt>
                <c:pt idx="3">
                  <c:v>1670</c:v>
                </c:pt>
                <c:pt idx="4">
                  <c:v>1670</c:v>
                </c:pt>
                <c:pt idx="5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D-704A-855B-33EC7CE5A4F9}"/>
            </c:ext>
          </c:extLst>
        </c:ser>
        <c:ser>
          <c:idx val="1"/>
          <c:order val="1"/>
          <c:tx>
            <c:v>WB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9AA3DD9-2DB2-4D93-87A1-73BF1CD8FB6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FDE-4945-A23D-1C0DBB34495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FAF389-67B7-4D37-8431-D95E421ADBC2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FDE-4945-A23D-1C0DBB3449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6C182DA-852C-4725-8D0A-6E8141DA0592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FFB-461E-8FA1-DAE3FB0A3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Data!$C$11:$C$13</c:f>
              <c:numCache>
                <c:formatCode>General</c:formatCode>
                <c:ptCount val="3"/>
                <c:pt idx="0">
                  <c:v>31.321077376279824</c:v>
                </c:pt>
                <c:pt idx="1">
                  <c:v>31.277635113947433</c:v>
                </c:pt>
                <c:pt idx="2">
                  <c:v>31.277635113947433</c:v>
                </c:pt>
              </c:numCache>
            </c:numRef>
          </c:xVal>
          <c:yVal>
            <c:numRef>
              <c:f>Data!$B$11:$B$13</c:f>
              <c:numCache>
                <c:formatCode>General</c:formatCode>
                <c:ptCount val="3"/>
                <c:pt idx="0">
                  <c:v>1184.73</c:v>
                </c:pt>
                <c:pt idx="1">
                  <c:v>1179.93</c:v>
                </c:pt>
                <c:pt idx="2">
                  <c:v>1179.93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Data!$B$25:$B$27</c15:f>
                <c15:dlblRangeCache>
                  <c:ptCount val="3"/>
                  <c:pt idx="0">
                    <c:v>ZFW</c:v>
                  </c:pt>
                  <c:pt idx="1">
                    <c:v>Landing</c:v>
                  </c:pt>
                  <c:pt idx="2">
                    <c:v>Takeoff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2BD-704A-855B-33EC7CE5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516127"/>
        <c:axId val="1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2"/>
                <c:tx>
                  <c:v>Baggage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'C152'!$K$27:$K$27</c15:sqref>
                        </c15:formulaRef>
                      </c:ext>
                    </c:extLst>
                    <c:numCache>
                      <c:formatCode>0.0</c:formatCode>
                      <c:ptCount val="1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'C152'!$J$27:$J$27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C2BD-704A-855B-33EC7CE5A4F9}"/>
                  </c:ext>
                </c:extLst>
              </c15:ser>
            </c15:filteredScatterSeries>
            <c15:filteredScatterSeries>
              <c15:ser>
                <c:idx val="5"/>
                <c:order val="3"/>
                <c:tx>
                  <c:v>Fuel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 WB'!#REF!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 WB'!#REF!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2BD-704A-855B-33EC7CE5A4F9}"/>
                  </c:ext>
                </c:extLst>
              </c15:ser>
            </c15:filteredScatterSeries>
            <c15:filteredScatterSeries>
              <c15:ser>
                <c:idx val="7"/>
                <c:order val="4"/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'C152'!$J$35:$J$40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'C152'!$L$35:$L$40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2BD-704A-855B-33EC7CE5A4F9}"/>
                  </c:ext>
                </c:extLst>
              </c15:ser>
            </c15:filteredScatterSeries>
          </c:ext>
        </c:extLst>
      </c:scatterChart>
      <c:valAx>
        <c:axId val="1336516127"/>
        <c:scaling>
          <c:orientation val="minMax"/>
          <c:max val="37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29019754631286654"/>
              <c:y val="0.93772936304815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1000"/>
        <c:crossBetween val="midCat"/>
        <c:majorUnit val="1"/>
        <c:minorUnit val="0.1"/>
      </c:valAx>
      <c:valAx>
        <c:axId val="1"/>
        <c:scaling>
          <c:orientation val="minMax"/>
          <c:max val="18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3.7174759559850556E-2"/>
              <c:y val="0.26661011101497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516127"/>
        <c:crossesAt val="30"/>
        <c:crossBetween val="midCat"/>
        <c:majorUnit val="100"/>
        <c:minorUnit val="20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26720</xdr:colOff>
      <xdr:row>7</xdr:row>
      <xdr:rowOff>69272</xdr:rowOff>
    </xdr:from>
    <xdr:to>
      <xdr:col>2</xdr:col>
      <xdr:colOff>69272</xdr:colOff>
      <xdr:row>51</xdr:row>
      <xdr:rowOff>990</xdr:rowOff>
    </xdr:to>
    <xdr:graphicFrame macro="">
      <xdr:nvGraphicFramePr>
        <xdr:cNvPr id="1116" name="Chart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1936657</xdr:colOff>
      <xdr:row>28</xdr:row>
      <xdr:rowOff>78914</xdr:rowOff>
    </xdr:from>
    <xdr:ext cx="648063" cy="381451"/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936657" y="4152150"/>
          <a:ext cx="648063" cy="381451"/>
        </a:xfrm>
        <a:prstGeom prst="rect">
          <a:avLst/>
        </a:prstGeom>
        <a:solidFill>
          <a:schemeClr val="bg1">
            <a:alpha val="0"/>
          </a:schemeClr>
        </a:solidFill>
        <a:ln w="9525">
          <a:noFill/>
          <a:miter lim="800000"/>
          <a:headEnd/>
          <a:tailEnd/>
        </a:ln>
      </xdr:spPr>
      <xdr:txBody>
        <a:bodyPr wrap="none" lIns="27432" tIns="27432" rIns="27432" bIns="0" anchor="t" upright="1">
          <a:spAutoFit/>
        </a:bodyPr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54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CENTER OF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54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 Gravity 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>
                  <a:alpha val="54000"/>
                </a:srgbClr>
              </a:solidFill>
              <a:latin typeface="Arial" panose="020B0604020202020204" pitchFamily="34" charset="0"/>
              <a:cs typeface="Arial" panose="020B0604020202020204" pitchFamily="34" charset="0"/>
            </a:rPr>
            <a:t>LIMITS</a:t>
          </a:r>
        </a:p>
      </xdr:txBody>
    </xdr:sp>
    <xdr:clientData/>
  </xdr:oneCellAnchor>
  <xdr:twoCellAnchor>
    <xdr:from>
      <xdr:col>10</xdr:col>
      <xdr:colOff>61799</xdr:colOff>
      <xdr:row>2</xdr:row>
      <xdr:rowOff>59252</xdr:rowOff>
    </xdr:from>
    <xdr:to>
      <xdr:col>11</xdr:col>
      <xdr:colOff>1071339</xdr:colOff>
      <xdr:row>5</xdr:row>
      <xdr:rowOff>712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813417" y="440252"/>
          <a:ext cx="1771540" cy="606478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1 </a:t>
          </a:r>
          <a:r>
            <a:rPr lang="en-CA" sz="1100"/>
            <a:t>- Pick Aircraft Ident</a:t>
          </a:r>
        </a:p>
      </xdr:txBody>
    </xdr:sp>
    <xdr:clientData/>
  </xdr:twoCellAnchor>
  <xdr:twoCellAnchor>
    <xdr:from>
      <xdr:col>10</xdr:col>
      <xdr:colOff>122786</xdr:colOff>
      <xdr:row>6</xdr:row>
      <xdr:rowOff>2474</xdr:rowOff>
    </xdr:from>
    <xdr:to>
      <xdr:col>11</xdr:col>
      <xdr:colOff>1149450</xdr:colOff>
      <xdr:row>8</xdr:row>
      <xdr:rowOff>156575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874404" y="1207819"/>
          <a:ext cx="1788664" cy="472756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2 </a:t>
          </a:r>
          <a:r>
            <a:rPr lang="en-CA" sz="1100"/>
            <a:t>- Enter</a:t>
          </a:r>
          <a:r>
            <a:rPr lang="en-CA" sz="1100" baseline="0"/>
            <a:t> Weight Data</a:t>
          </a:r>
          <a:endParaRPr lang="en-CA" sz="1100"/>
        </a:p>
      </xdr:txBody>
    </xdr:sp>
    <xdr:clientData/>
  </xdr:twoCellAnchor>
  <xdr:twoCellAnchor editAs="oneCell">
    <xdr:from>
      <xdr:col>1</xdr:col>
      <xdr:colOff>420253</xdr:colOff>
      <xdr:row>2</xdr:row>
      <xdr:rowOff>124538</xdr:rowOff>
    </xdr:from>
    <xdr:to>
      <xdr:col>1</xdr:col>
      <xdr:colOff>3351569</xdr:colOff>
      <xdr:row>6</xdr:row>
      <xdr:rowOff>32823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53" y="505538"/>
          <a:ext cx="2931316" cy="734444"/>
        </a:xfrm>
        <a:prstGeom prst="rect">
          <a:avLst/>
        </a:prstGeom>
      </xdr:spPr>
    </xdr:pic>
    <xdr:clientData/>
  </xdr:twoCellAnchor>
  <xdr:twoCellAnchor>
    <xdr:from>
      <xdr:col>10</xdr:col>
      <xdr:colOff>101221</xdr:colOff>
      <xdr:row>23</xdr:row>
      <xdr:rowOff>114300</xdr:rowOff>
    </xdr:from>
    <xdr:to>
      <xdr:col>12</xdr:col>
      <xdr:colOff>69850</xdr:colOff>
      <xdr:row>27</xdr:row>
      <xdr:rowOff>88900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572121" y="4013200"/>
          <a:ext cx="1822829" cy="609600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4 </a:t>
          </a:r>
          <a:r>
            <a:rPr lang="en-CA" sz="1100"/>
            <a:t>- Check</a:t>
          </a:r>
          <a:r>
            <a:rPr lang="en-CA" sz="1100" baseline="0"/>
            <a:t> for Errors</a:t>
          </a:r>
          <a:endParaRPr lang="en-CA" sz="1100"/>
        </a:p>
      </xdr:txBody>
    </xdr:sp>
    <xdr:clientData/>
  </xdr:twoCellAnchor>
  <xdr:twoCellAnchor>
    <xdr:from>
      <xdr:col>10</xdr:col>
      <xdr:colOff>150428</xdr:colOff>
      <xdr:row>46</xdr:row>
      <xdr:rowOff>12660</xdr:rowOff>
    </xdr:from>
    <xdr:to>
      <xdr:col>12</xdr:col>
      <xdr:colOff>120650</xdr:colOff>
      <xdr:row>49</xdr:row>
      <xdr:rowOff>76349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621328" y="6864310"/>
          <a:ext cx="1824422" cy="406589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5 </a:t>
          </a:r>
          <a:r>
            <a:rPr lang="en-CA" sz="1100"/>
            <a:t>- Print and</a:t>
          </a:r>
          <a:r>
            <a:rPr lang="en-CA" sz="1100" baseline="0"/>
            <a:t> Sign</a:t>
          </a:r>
          <a:endParaRPr lang="en-CA" sz="1100"/>
        </a:p>
      </xdr:txBody>
    </xdr:sp>
    <xdr:clientData/>
  </xdr:twoCellAnchor>
  <xdr:twoCellAnchor editAs="oneCell">
    <xdr:from>
      <xdr:col>1</xdr:col>
      <xdr:colOff>292101</xdr:colOff>
      <xdr:row>102</xdr:row>
      <xdr:rowOff>101600</xdr:rowOff>
    </xdr:from>
    <xdr:to>
      <xdr:col>12</xdr:col>
      <xdr:colOff>18673</xdr:colOff>
      <xdr:row>150</xdr:row>
      <xdr:rowOff>55335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2CE83E-BE7E-EF44-6D4A-8B394F07A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701" y="15494000"/>
          <a:ext cx="9955514" cy="7626350"/>
        </a:xfrm>
        <a:prstGeom prst="rect">
          <a:avLst/>
        </a:prstGeom>
      </xdr:spPr>
    </xdr:pic>
    <xdr:clientData/>
  </xdr:twoCellAnchor>
  <xdr:twoCellAnchor>
    <xdr:from>
      <xdr:col>10</xdr:col>
      <xdr:colOff>140104</xdr:colOff>
      <xdr:row>19</xdr:row>
      <xdr:rowOff>109269</xdr:rowOff>
    </xdr:from>
    <xdr:to>
      <xdr:col>12</xdr:col>
      <xdr:colOff>57150</xdr:colOff>
      <xdr:row>22</xdr:row>
      <xdr:rowOff>104620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CA0555F1-5531-4681-B653-037E05E96256}"/>
            </a:ext>
          </a:extLst>
        </xdr:cNvPr>
        <xdr:cNvSpPr/>
      </xdr:nvSpPr>
      <xdr:spPr bwMode="auto">
        <a:xfrm>
          <a:off x="8611004" y="3373169"/>
          <a:ext cx="1771246" cy="471601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CA" sz="1100" b="1"/>
            <a:t>Step 3 </a:t>
          </a:r>
          <a:r>
            <a:rPr lang="en-CA" sz="1100"/>
            <a:t>- Enter</a:t>
          </a:r>
          <a:r>
            <a:rPr lang="en-CA" sz="1100" baseline="0"/>
            <a:t> Oil Level Data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46"/>
  <sheetViews>
    <sheetView tabSelected="1" showOutlineSymbols="0" topLeftCell="B1" zoomScaleNormal="100" workbookViewId="0">
      <selection activeCell="E4" sqref="E4:I4"/>
    </sheetView>
  </sheetViews>
  <sheetFormatPr defaultColWidth="9.15234375" defaultRowHeight="12.75" customHeight="1" x14ac:dyDescent="0.25"/>
  <cols>
    <col min="1" max="1" width="1.4609375" style="1" customWidth="1"/>
    <col min="2" max="2" width="56.3828125" style="1" customWidth="1"/>
    <col min="3" max="3" width="2.3828125" style="1" customWidth="1"/>
    <col min="4" max="4" width="23.15234375" style="1" customWidth="1"/>
    <col min="5" max="5" width="2.15234375" style="1" customWidth="1"/>
    <col min="6" max="6" width="5.84375" style="1" customWidth="1"/>
    <col min="7" max="7" width="6.15234375" style="1" customWidth="1"/>
    <col min="8" max="8" width="5.84375" style="1" customWidth="1"/>
    <col min="9" max="9" width="14.61328125" style="1" customWidth="1"/>
    <col min="10" max="10" width="3.3828125" style="1" customWidth="1"/>
    <col min="11" max="11" width="11.15234375" style="1" customWidth="1"/>
    <col min="12" max="12" width="15.4609375" style="1" customWidth="1"/>
    <col min="13" max="13" width="2" style="1" customWidth="1"/>
    <col min="14" max="14" width="0.61328125" style="1" customWidth="1"/>
    <col min="15" max="15" width="10.84375" style="1" customWidth="1"/>
    <col min="16" max="16" width="2.84375" style="1" customWidth="1"/>
    <col min="17" max="18" width="9.15234375" style="1"/>
    <col min="19" max="19" width="26.15234375" style="1" customWidth="1"/>
    <col min="20" max="16384" width="9.15234375" style="1"/>
  </cols>
  <sheetData>
    <row r="1" spans="1:21" ht="12.75" customHeight="1" thickBot="1" x14ac:dyDescent="0.3">
      <c r="A1" s="9"/>
      <c r="B1" s="68"/>
      <c r="C1" s="36"/>
      <c r="D1" s="37" t="s">
        <v>57</v>
      </c>
      <c r="E1" s="116">
        <f ca="1">NOW() + SUM(E8:F16)*0</f>
        <v>45895.408619444446</v>
      </c>
      <c r="F1" s="116"/>
      <c r="G1" s="116"/>
      <c r="H1" s="116"/>
      <c r="I1" s="37" t="s">
        <v>136</v>
      </c>
    </row>
    <row r="2" spans="1:21" ht="17.5" customHeight="1" x14ac:dyDescent="0.35">
      <c r="A2" s="9"/>
      <c r="B2" s="4"/>
      <c r="C2" s="9"/>
      <c r="D2" s="137" t="s">
        <v>23</v>
      </c>
      <c r="E2" s="137"/>
      <c r="F2" s="137"/>
      <c r="G2" s="137"/>
      <c r="H2" s="137"/>
      <c r="I2" s="137"/>
      <c r="J2" s="27"/>
      <c r="K2" s="26"/>
      <c r="L2" s="26"/>
      <c r="M2" s="26"/>
      <c r="N2" s="27"/>
      <c r="O2" s="2"/>
    </row>
    <row r="3" spans="1:21" ht="15.75" customHeight="1" thickBot="1" x14ac:dyDescent="0.4">
      <c r="A3" s="9"/>
      <c r="B3" s="5"/>
      <c r="C3" s="9"/>
      <c r="D3" s="138"/>
      <c r="E3" s="138"/>
      <c r="F3" s="138"/>
      <c r="G3" s="138"/>
      <c r="H3" s="138"/>
      <c r="I3" s="138"/>
      <c r="J3" s="29"/>
      <c r="K3" s="28"/>
      <c r="L3" s="28"/>
      <c r="M3" s="28"/>
      <c r="N3" s="29"/>
      <c r="O3" s="2"/>
    </row>
    <row r="4" spans="1:21" ht="24" customHeight="1" thickBot="1" x14ac:dyDescent="0.4">
      <c r="A4" s="9"/>
      <c r="B4" s="5"/>
      <c r="C4" s="9"/>
      <c r="D4" s="73" t="s">
        <v>22</v>
      </c>
      <c r="E4" s="119" t="s">
        <v>14</v>
      </c>
      <c r="F4" s="120"/>
      <c r="G4" s="120"/>
      <c r="H4" s="120"/>
      <c r="I4" s="121"/>
      <c r="J4" s="29"/>
      <c r="K4" s="9"/>
      <c r="L4" s="9"/>
      <c r="M4" s="9"/>
      <c r="N4" s="29"/>
      <c r="O4" s="2"/>
    </row>
    <row r="5" spans="1:21" ht="12.75" customHeight="1" x14ac:dyDescent="0.3">
      <c r="A5" s="9"/>
      <c r="B5" s="5"/>
      <c r="C5" s="9"/>
      <c r="D5" s="10"/>
      <c r="E5" s="10"/>
      <c r="F5" s="10"/>
      <c r="G5" s="9"/>
      <c r="H5" s="10"/>
      <c r="I5" s="11"/>
      <c r="J5" s="29"/>
      <c r="K5" s="9"/>
      <c r="L5" s="9"/>
      <c r="M5" s="9"/>
      <c r="N5" s="29"/>
    </row>
    <row r="6" spans="1:21" ht="12.75" customHeight="1" x14ac:dyDescent="0.25">
      <c r="A6" s="9"/>
      <c r="B6" s="5"/>
      <c r="C6" s="9"/>
      <c r="D6" s="12"/>
      <c r="E6" s="117" t="s">
        <v>0</v>
      </c>
      <c r="F6" s="118"/>
      <c r="G6" s="13" t="s">
        <v>1</v>
      </c>
      <c r="H6" s="13" t="s">
        <v>2</v>
      </c>
      <c r="I6" s="13" t="s">
        <v>3</v>
      </c>
      <c r="J6" s="29"/>
      <c r="K6" s="9"/>
      <c r="L6" s="9"/>
      <c r="M6" s="9"/>
      <c r="N6" s="29"/>
    </row>
    <row r="7" spans="1:21" ht="12.75" customHeight="1" x14ac:dyDescent="0.25">
      <c r="A7" s="9"/>
      <c r="B7" s="5"/>
      <c r="C7" s="9"/>
      <c r="D7" s="69" t="s">
        <v>4</v>
      </c>
      <c r="E7" s="156"/>
      <c r="F7" s="157"/>
      <c r="G7" s="74">
        <f>VLOOKUP(E4,Data!F3:J12,2,FALSE)</f>
        <v>1184.73</v>
      </c>
      <c r="H7" s="75">
        <f>VLOOKUP(E4,Data!F3:J12,4,FALSE)</f>
        <v>31.32</v>
      </c>
      <c r="I7" s="87">
        <f>VLOOKUP(E4,Data!F3:L12,7,FALSE)</f>
        <v>37107.019999999997</v>
      </c>
      <c r="J7" s="29"/>
      <c r="K7" s="9"/>
      <c r="L7" s="9"/>
      <c r="M7" s="9"/>
      <c r="N7" s="29"/>
      <c r="T7" s="51"/>
      <c r="U7" s="51"/>
    </row>
    <row r="8" spans="1:21" ht="12.75" customHeight="1" x14ac:dyDescent="0.35">
      <c r="A8" s="9"/>
      <c r="B8" s="5"/>
      <c r="C8" s="9"/>
      <c r="D8" s="70" t="s">
        <v>5</v>
      </c>
      <c r="E8" s="158"/>
      <c r="F8" s="159"/>
      <c r="G8" s="79">
        <f>E8</f>
        <v>0</v>
      </c>
      <c r="H8" s="80">
        <v>39</v>
      </c>
      <c r="I8" s="76">
        <f t="shared" ref="I8:I14" si="0">G8*H8</f>
        <v>0</v>
      </c>
      <c r="J8" s="29"/>
      <c r="K8" s="9"/>
      <c r="L8" s="9"/>
      <c r="M8" s="9"/>
      <c r="N8" s="29"/>
      <c r="O8"/>
      <c r="T8" s="52"/>
      <c r="U8" s="53"/>
    </row>
    <row r="9" spans="1:21" ht="12.75" customHeight="1" x14ac:dyDescent="0.35">
      <c r="A9" s="9"/>
      <c r="B9" s="5"/>
      <c r="C9" s="9"/>
      <c r="D9" s="70" t="s">
        <v>6</v>
      </c>
      <c r="E9" s="158"/>
      <c r="F9" s="159"/>
      <c r="G9" s="79">
        <f>E9</f>
        <v>0</v>
      </c>
      <c r="H9" s="80">
        <v>39</v>
      </c>
      <c r="I9" s="76">
        <f t="shared" si="0"/>
        <v>0</v>
      </c>
      <c r="J9" s="29"/>
      <c r="K9" s="9"/>
      <c r="L9" s="9"/>
      <c r="M9" s="9"/>
      <c r="N9" s="29"/>
      <c r="O9"/>
      <c r="T9" s="52"/>
      <c r="U9" s="53"/>
    </row>
    <row r="10" spans="1:21" ht="12.75" customHeight="1" x14ac:dyDescent="0.35">
      <c r="A10" s="9"/>
      <c r="B10" s="5"/>
      <c r="C10" s="9"/>
      <c r="D10" s="70" t="s">
        <v>38</v>
      </c>
      <c r="E10" s="158"/>
      <c r="F10" s="159"/>
      <c r="G10" s="79">
        <f>E10</f>
        <v>0</v>
      </c>
      <c r="H10" s="80">
        <v>64</v>
      </c>
      <c r="I10" s="76">
        <f t="shared" si="0"/>
        <v>0</v>
      </c>
      <c r="J10" s="29"/>
      <c r="K10" s="9"/>
      <c r="L10" s="9"/>
      <c r="M10" s="9"/>
      <c r="N10" s="29"/>
      <c r="O10"/>
      <c r="T10" s="8"/>
      <c r="U10" s="53"/>
    </row>
    <row r="11" spans="1:21" ht="12.75" customHeight="1" x14ac:dyDescent="0.35">
      <c r="A11" s="9"/>
      <c r="B11" s="5"/>
      <c r="C11" s="9"/>
      <c r="D11" s="70" t="s">
        <v>39</v>
      </c>
      <c r="E11" s="158"/>
      <c r="F11" s="159"/>
      <c r="G11" s="79">
        <f>E11</f>
        <v>0</v>
      </c>
      <c r="H11" s="80">
        <v>84</v>
      </c>
      <c r="I11" s="76">
        <f>G11*H11</f>
        <v>0</v>
      </c>
      <c r="J11" s="29"/>
      <c r="K11" s="30"/>
      <c r="L11" s="31"/>
      <c r="M11" s="30"/>
      <c r="N11" s="29"/>
      <c r="O11"/>
      <c r="T11" s="8"/>
      <c r="U11" s="53"/>
    </row>
    <row r="12" spans="1:21" ht="12.75" customHeight="1" x14ac:dyDescent="0.35">
      <c r="A12" s="9"/>
      <c r="B12" s="5"/>
      <c r="C12" s="9"/>
      <c r="D12" s="71" t="s">
        <v>11</v>
      </c>
      <c r="E12" s="160"/>
      <c r="F12" s="161"/>
      <c r="G12" s="81">
        <f>SUM(G7:G11)</f>
        <v>1184.73</v>
      </c>
      <c r="H12" s="81">
        <f>I12/G12</f>
        <v>31.321077376279824</v>
      </c>
      <c r="I12" s="77">
        <f>SUM(I7:I11)</f>
        <v>37107.019999999997</v>
      </c>
      <c r="J12" s="29"/>
      <c r="K12" s="30"/>
      <c r="L12" s="31"/>
      <c r="M12" s="30"/>
      <c r="N12" s="29"/>
      <c r="O12"/>
    </row>
    <row r="13" spans="1:21" ht="12.75" customHeight="1" x14ac:dyDescent="0.35">
      <c r="A13" s="9"/>
      <c r="B13" s="5"/>
      <c r="C13" s="9"/>
      <c r="D13" s="70" t="s">
        <v>80</v>
      </c>
      <c r="E13" s="158"/>
      <c r="F13" s="159"/>
      <c r="G13" s="79">
        <f>E13*6</f>
        <v>0</v>
      </c>
      <c r="H13" s="80">
        <f>VLOOKUP(E4,Data!F3:J12,5,FALSE)</f>
        <v>42</v>
      </c>
      <c r="I13" s="76">
        <f t="shared" si="0"/>
        <v>0</v>
      </c>
      <c r="J13" s="29"/>
      <c r="K13" s="30"/>
      <c r="L13" s="31"/>
      <c r="M13" s="30"/>
      <c r="N13" s="29"/>
      <c r="O13"/>
    </row>
    <row r="14" spans="1:21" ht="12.75" customHeight="1" x14ac:dyDescent="0.25">
      <c r="A14" s="9"/>
      <c r="B14" s="5"/>
      <c r="C14" s="9"/>
      <c r="D14" s="70" t="s">
        <v>8</v>
      </c>
      <c r="E14" s="162" t="s">
        <v>9</v>
      </c>
      <c r="F14" s="163"/>
      <c r="G14" s="79">
        <v>-4.8</v>
      </c>
      <c r="H14" s="80">
        <f>VLOOKUP(E4,Data!F3:J12,5,FALSE)</f>
        <v>42</v>
      </c>
      <c r="I14" s="76">
        <f t="shared" si="0"/>
        <v>-201.6</v>
      </c>
      <c r="J14" s="29"/>
      <c r="K14" s="30"/>
      <c r="L14" s="31"/>
      <c r="M14" s="30"/>
      <c r="N14" s="29"/>
    </row>
    <row r="15" spans="1:21" ht="12.75" customHeight="1" x14ac:dyDescent="0.25">
      <c r="A15" s="9"/>
      <c r="B15" s="5"/>
      <c r="C15" s="9"/>
      <c r="D15" s="71" t="str">
        <f>"Take off Weight (Max "&amp; Data!B16&amp;" lbs)"</f>
        <v>Take off Weight (Max 1670 lbs)</v>
      </c>
      <c r="E15" s="160"/>
      <c r="F15" s="161"/>
      <c r="G15" s="81">
        <f>SUM(G12:G14)</f>
        <v>1179.93</v>
      </c>
      <c r="H15" s="81">
        <f>I15/G15</f>
        <v>31.277635113947433</v>
      </c>
      <c r="I15" s="77">
        <f>SUM(I12:I14)</f>
        <v>36905.42</v>
      </c>
      <c r="J15" s="29"/>
      <c r="K15" s="30"/>
      <c r="L15" s="31"/>
      <c r="M15" s="30"/>
      <c r="N15" s="29"/>
    </row>
    <row r="16" spans="1:21" ht="12.75" customHeight="1" x14ac:dyDescent="0.25">
      <c r="A16" s="9"/>
      <c r="B16" s="5"/>
      <c r="C16" s="9"/>
      <c r="D16" s="70" t="s">
        <v>79</v>
      </c>
      <c r="E16" s="158"/>
      <c r="F16" s="159"/>
      <c r="G16" s="80">
        <f>-E16*6</f>
        <v>0</v>
      </c>
      <c r="H16" s="80">
        <f>VLOOKUP(E4,Data!F3:J12,5,FALSE)</f>
        <v>42</v>
      </c>
      <c r="I16" s="76">
        <f>H16*G16</f>
        <v>0</v>
      </c>
      <c r="J16" s="29"/>
      <c r="K16" s="30"/>
      <c r="L16" s="31"/>
      <c r="M16" s="30"/>
      <c r="N16" s="29"/>
    </row>
    <row r="17" spans="1:20" ht="12.75" customHeight="1" x14ac:dyDescent="0.25">
      <c r="A17" s="9"/>
      <c r="B17" s="5"/>
      <c r="C17" s="9"/>
      <c r="D17" s="72" t="s">
        <v>12</v>
      </c>
      <c r="E17" s="129"/>
      <c r="F17" s="130"/>
      <c r="G17" s="82">
        <f>SUM(G15:G16)</f>
        <v>1179.93</v>
      </c>
      <c r="H17" s="82">
        <f>I17/G17</f>
        <v>31.277635113947433</v>
      </c>
      <c r="I17" s="78">
        <f>SUM(I15:I16)</f>
        <v>36905.42</v>
      </c>
      <c r="J17" s="29"/>
      <c r="K17" s="30"/>
      <c r="L17" s="31"/>
      <c r="M17" s="30"/>
      <c r="N17" s="29"/>
    </row>
    <row r="18" spans="1:20" ht="12.75" customHeight="1" x14ac:dyDescent="0.25">
      <c r="A18" s="9"/>
      <c r="B18" s="5"/>
      <c r="C18" s="9"/>
      <c r="D18" s="14" t="str">
        <f>IF(G15&gt;Data!B16, "Overweight by:", "Underweight by:")</f>
        <v>Underweight by:</v>
      </c>
      <c r="E18" s="83"/>
      <c r="F18" s="15">
        <f>Data!B16-G15</f>
        <v>490.06999999999994</v>
      </c>
      <c r="G18" s="9"/>
      <c r="H18" s="9"/>
      <c r="I18" s="49"/>
      <c r="J18" s="29"/>
      <c r="K18" s="30"/>
      <c r="L18" s="31"/>
      <c r="M18" s="30"/>
      <c r="N18" s="29"/>
    </row>
    <row r="19" spans="1:20" ht="12.75" customHeight="1" x14ac:dyDescent="0.3">
      <c r="A19" s="9"/>
      <c r="B19" s="5"/>
      <c r="C19" s="9"/>
      <c r="D19" s="150" t="s">
        <v>94</v>
      </c>
      <c r="E19" s="151"/>
      <c r="F19" s="151"/>
      <c r="G19" s="151"/>
      <c r="H19" s="151"/>
      <c r="I19" s="152"/>
      <c r="J19" s="29"/>
      <c r="K19" s="30"/>
      <c r="L19" s="31"/>
      <c r="M19" s="30"/>
      <c r="N19" s="29"/>
    </row>
    <row r="20" spans="1:20" ht="12.75" customHeight="1" x14ac:dyDescent="0.3">
      <c r="A20" s="9"/>
      <c r="B20" s="5"/>
      <c r="C20" s="9"/>
      <c r="D20" s="99" t="s">
        <v>95</v>
      </c>
      <c r="E20" s="153" t="str">
        <f>VLOOKUP(E4,Data!F3:N12,8,FALSE) &amp; " quarts"</f>
        <v>4 quarts</v>
      </c>
      <c r="F20" s="153"/>
      <c r="G20" s="153"/>
      <c r="H20" s="153"/>
      <c r="I20" s="153"/>
      <c r="J20" s="29"/>
      <c r="K20" s="30"/>
      <c r="L20" s="31"/>
      <c r="M20" s="30"/>
      <c r="N20" s="29"/>
    </row>
    <row r="21" spans="1:20" ht="12.75" customHeight="1" x14ac:dyDescent="0.3">
      <c r="A21" s="9"/>
      <c r="B21" s="5"/>
      <c r="C21" s="9"/>
      <c r="D21" s="99" t="s">
        <v>96</v>
      </c>
      <c r="E21" s="153" t="str">
        <f>VLOOKUP(E4,Data!F3:N12,9,FALSE)&amp; " quarts"</f>
        <v>6 quarts</v>
      </c>
      <c r="F21" s="153"/>
      <c r="G21" s="153"/>
      <c r="H21" s="153"/>
      <c r="I21" s="153"/>
      <c r="J21" s="29"/>
      <c r="K21" s="30"/>
      <c r="L21" s="31"/>
      <c r="M21" s="30"/>
      <c r="N21" s="29"/>
    </row>
    <row r="22" spans="1:20" ht="12.75" customHeight="1" x14ac:dyDescent="0.3">
      <c r="A22" s="9"/>
      <c r="B22" s="5"/>
      <c r="C22" s="9"/>
      <c r="D22" s="97" t="s">
        <v>122</v>
      </c>
      <c r="E22" s="103"/>
      <c r="F22" s="103"/>
      <c r="G22" s="103"/>
      <c r="H22" s="103"/>
      <c r="I22" s="104"/>
      <c r="J22" s="29"/>
      <c r="K22" s="30"/>
      <c r="L22" s="31"/>
      <c r="M22" s="30"/>
      <c r="N22" s="29"/>
    </row>
    <row r="23" spans="1:20" ht="12.75" customHeight="1" x14ac:dyDescent="0.3">
      <c r="A23" s="9"/>
      <c r="B23" s="5"/>
      <c r="C23" s="9"/>
      <c r="D23" s="126" t="s">
        <v>37</v>
      </c>
      <c r="E23" s="127"/>
      <c r="F23" s="127"/>
      <c r="G23" s="127"/>
      <c r="H23" s="127"/>
      <c r="I23" s="128"/>
      <c r="J23" s="29"/>
      <c r="K23" s="32"/>
      <c r="L23" s="32"/>
      <c r="M23" s="30"/>
      <c r="N23" s="29"/>
    </row>
    <row r="24" spans="1:20" ht="12.75" customHeight="1" x14ac:dyDescent="0.3">
      <c r="A24" s="9"/>
      <c r="B24" s="5"/>
      <c r="C24" s="9"/>
      <c r="D24" s="100" t="str">
        <f>IF(G17&gt;Data!B16,"Warning: Maximum Gross Weight Exceeded for this aircraft","")</f>
        <v/>
      </c>
      <c r="E24" s="43"/>
      <c r="F24" s="9"/>
      <c r="G24" s="9"/>
      <c r="H24" s="9"/>
      <c r="I24" s="16"/>
      <c r="J24" s="29"/>
      <c r="K24" s="32"/>
      <c r="L24" s="32"/>
      <c r="M24" s="30"/>
      <c r="N24" s="29"/>
    </row>
    <row r="25" spans="1:20" ht="12.75" customHeight="1" x14ac:dyDescent="0.3">
      <c r="A25" s="9"/>
      <c r="B25" s="5"/>
      <c r="C25" s="9"/>
      <c r="D25" s="100" t="str">
        <f>IF(OR((E10)&gt;Data!B18, (E11)&gt;Data!B19, (E10+E11)&gt;Data!B18),"Warning: Too Much Baggage for this aircraft!","")</f>
        <v/>
      </c>
      <c r="E25" s="102" t="str">
        <f>IF(ISBLANK(E22),"Warning: Missing Measured Oil Level","")</f>
        <v>Warning: Missing Measured Oil Level</v>
      </c>
      <c r="F25" s="9"/>
      <c r="G25" s="9"/>
      <c r="H25" s="17"/>
      <c r="I25" s="18"/>
      <c r="J25" s="29"/>
      <c r="K25" s="32"/>
      <c r="L25" s="32"/>
      <c r="M25" s="30"/>
      <c r="N25" s="29"/>
    </row>
    <row r="26" spans="1:20" ht="12.75" customHeight="1" x14ac:dyDescent="0.3">
      <c r="A26" s="9"/>
      <c r="B26" s="5"/>
      <c r="C26" s="9"/>
      <c r="D26" s="100" t="str">
        <f>IF(MAX(H17)&gt;Data!B8,"Warning: C.G. Too Far After for this aircraft!!!","")&amp;IF(OR(Data!Y3, Data!Y4, Data!Y5),"Warning: C.G. Too Far Forward for this aircraft!!!","")&amp;IF(OR(G12&gt;Data!C7, G15&gt;Data!C7, G17&gt;Data!C7),"Warning: Weight Limit Exceeded for this aircraft!!!","")</f>
        <v/>
      </c>
      <c r="E26" s="43"/>
      <c r="F26" s="9"/>
      <c r="G26" s="9"/>
      <c r="H26" s="17"/>
      <c r="I26" s="18"/>
      <c r="J26" s="29"/>
      <c r="K26" s="32"/>
      <c r="L26" s="32"/>
      <c r="M26" s="30"/>
      <c r="N26" s="29"/>
    </row>
    <row r="27" spans="1:20" ht="12.75" customHeight="1" x14ac:dyDescent="0.3">
      <c r="A27" s="9"/>
      <c r="B27" s="5"/>
      <c r="C27" s="9"/>
      <c r="D27" s="101" t="str">
        <f>IF(E13&gt;Data!B20,"Error: Fuel Limit Exceeded for this aircraft","")&amp;IF(E13&lt;Data!B21,"Warning: Low Fuel","")</f>
        <v/>
      </c>
      <c r="E27" s="44"/>
      <c r="F27" s="19"/>
      <c r="G27" s="20"/>
      <c r="H27" s="20"/>
      <c r="I27" s="21"/>
      <c r="J27" s="29"/>
      <c r="K27" s="32"/>
      <c r="L27" s="32"/>
      <c r="M27" s="30"/>
      <c r="N27" s="29"/>
    </row>
    <row r="28" spans="1:20" ht="12.75" customHeight="1" x14ac:dyDescent="0.25">
      <c r="A28" s="9"/>
      <c r="B28" s="5"/>
      <c r="C28" s="9"/>
      <c r="D28" s="166" t="s">
        <v>10</v>
      </c>
      <c r="E28" s="166"/>
      <c r="F28" s="166"/>
      <c r="G28" s="166"/>
      <c r="H28" s="166"/>
      <c r="I28" s="166"/>
      <c r="J28" s="29"/>
      <c r="K28" s="9"/>
      <c r="L28" s="9"/>
      <c r="M28" s="9"/>
      <c r="N28" s="29"/>
    </row>
    <row r="29" spans="1:20" ht="12.75" customHeight="1" x14ac:dyDescent="0.25">
      <c r="A29" s="9"/>
      <c r="B29" s="5"/>
      <c r="C29" s="9"/>
      <c r="D29" s="167"/>
      <c r="E29" s="167"/>
      <c r="F29" s="167"/>
      <c r="G29" s="167"/>
      <c r="H29" s="167"/>
      <c r="I29" s="167"/>
      <c r="J29" s="29"/>
      <c r="K29" s="9"/>
      <c r="L29" s="9"/>
      <c r="M29" s="9"/>
      <c r="N29" s="29"/>
    </row>
    <row r="30" spans="1:20" ht="12.75" customHeight="1" x14ac:dyDescent="0.25">
      <c r="A30" s="9"/>
      <c r="B30" s="5"/>
      <c r="C30" s="9"/>
      <c r="D30" s="131" t="s">
        <v>36</v>
      </c>
      <c r="E30" s="132"/>
      <c r="F30" s="132"/>
      <c r="G30" s="132"/>
      <c r="H30" s="132"/>
      <c r="I30" s="133"/>
      <c r="J30" s="29"/>
      <c r="K30" s="9"/>
      <c r="L30" s="9"/>
      <c r="M30" s="9"/>
      <c r="N30" s="29"/>
    </row>
    <row r="31" spans="1:20" ht="12.75" customHeight="1" x14ac:dyDescent="0.25">
      <c r="A31" s="9"/>
      <c r="B31" s="5"/>
      <c r="C31" s="9"/>
      <c r="D31" s="134"/>
      <c r="E31" s="135"/>
      <c r="F31" s="135"/>
      <c r="G31" s="135"/>
      <c r="H31" s="135"/>
      <c r="I31" s="136"/>
      <c r="J31" s="29"/>
      <c r="K31" s="9"/>
      <c r="L31" s="9"/>
      <c r="M31" s="9"/>
      <c r="N31" s="29"/>
    </row>
    <row r="32" spans="1:20" ht="12.75" customHeight="1" x14ac:dyDescent="0.3">
      <c r="A32" s="9"/>
      <c r="B32" s="6"/>
      <c r="C32" s="38"/>
      <c r="D32" s="141" t="s">
        <v>58</v>
      </c>
      <c r="E32" s="142"/>
      <c r="F32" s="142"/>
      <c r="G32" s="142"/>
      <c r="H32" s="142"/>
      <c r="I32" s="143"/>
      <c r="J32" s="29"/>
      <c r="K32" s="9"/>
      <c r="L32" s="9"/>
      <c r="M32" s="9"/>
      <c r="N32" s="29"/>
      <c r="T32" s="8"/>
    </row>
    <row r="33" spans="1:20" ht="11.05" customHeight="1" x14ac:dyDescent="0.3">
      <c r="A33" s="9"/>
      <c r="B33" s="6"/>
      <c r="C33" s="38"/>
      <c r="D33" s="144"/>
      <c r="E33" s="145"/>
      <c r="F33" s="145"/>
      <c r="G33" s="145"/>
      <c r="H33" s="145"/>
      <c r="I33" s="146"/>
      <c r="J33" s="29"/>
      <c r="K33" s="9"/>
      <c r="L33" s="9"/>
      <c r="M33" s="9"/>
      <c r="N33" s="29"/>
      <c r="T33" s="8"/>
    </row>
    <row r="34" spans="1:20" ht="19.5" customHeight="1" x14ac:dyDescent="0.3">
      <c r="A34" s="9"/>
      <c r="B34" s="6"/>
      <c r="C34" s="38"/>
      <c r="D34" s="147"/>
      <c r="E34" s="148"/>
      <c r="F34" s="148"/>
      <c r="G34" s="148"/>
      <c r="H34" s="148"/>
      <c r="I34" s="149"/>
      <c r="J34" s="29"/>
      <c r="K34" s="9"/>
      <c r="L34" s="9"/>
      <c r="M34" s="9"/>
      <c r="N34" s="29"/>
      <c r="T34" s="8"/>
    </row>
    <row r="35" spans="1:20" ht="12.75" customHeight="1" x14ac:dyDescent="0.3">
      <c r="A35" s="9"/>
      <c r="B35" s="6"/>
      <c r="C35" s="38"/>
      <c r="D35" s="139" t="s">
        <v>51</v>
      </c>
      <c r="E35" s="139"/>
      <c r="F35" s="140"/>
      <c r="G35" s="140"/>
      <c r="H35" s="140"/>
      <c r="I35" s="140"/>
      <c r="J35" s="29"/>
      <c r="K35" s="30"/>
      <c r="L35" s="31"/>
      <c r="M35" s="30"/>
      <c r="N35" s="29"/>
    </row>
    <row r="36" spans="1:20" ht="3.75" customHeight="1" x14ac:dyDescent="0.25">
      <c r="A36" s="9"/>
      <c r="B36" s="5"/>
      <c r="C36" s="9"/>
      <c r="D36" s="139"/>
      <c r="E36" s="139"/>
      <c r="F36" s="140"/>
      <c r="G36" s="140"/>
      <c r="H36" s="140"/>
      <c r="I36" s="140"/>
      <c r="J36" s="29"/>
      <c r="K36" s="30"/>
      <c r="L36" s="31"/>
      <c r="M36" s="30"/>
      <c r="N36" s="29"/>
    </row>
    <row r="37" spans="1:20" ht="7.5" customHeight="1" x14ac:dyDescent="0.25">
      <c r="A37" s="9"/>
      <c r="B37" s="5"/>
      <c r="C37" s="9"/>
      <c r="D37" s="139"/>
      <c r="E37" s="139"/>
      <c r="F37" s="140"/>
      <c r="G37" s="140"/>
      <c r="H37" s="140"/>
      <c r="I37" s="140"/>
      <c r="J37" s="29"/>
      <c r="K37" s="30"/>
      <c r="L37" s="31"/>
      <c r="M37" s="30"/>
      <c r="N37" s="29"/>
    </row>
    <row r="38" spans="1:20" ht="4.5" customHeight="1" x14ac:dyDescent="0.25">
      <c r="A38" s="9"/>
      <c r="B38" s="5"/>
      <c r="C38" s="9"/>
      <c r="D38" s="22"/>
      <c r="E38" s="23"/>
      <c r="F38" s="114"/>
      <c r="G38" s="114"/>
      <c r="H38" s="114"/>
      <c r="I38" s="114"/>
      <c r="J38" s="29"/>
      <c r="K38" s="30"/>
      <c r="L38" s="31"/>
      <c r="M38" s="30"/>
      <c r="N38" s="29"/>
    </row>
    <row r="39" spans="1:20" ht="12.75" customHeight="1" x14ac:dyDescent="0.25">
      <c r="A39" s="9"/>
      <c r="B39" s="5"/>
      <c r="C39" s="9"/>
      <c r="D39" s="122" t="s">
        <v>29</v>
      </c>
      <c r="E39" s="123"/>
      <c r="F39" s="114"/>
      <c r="G39" s="114"/>
      <c r="H39" s="114"/>
      <c r="I39" s="114"/>
      <c r="J39" s="29"/>
      <c r="K39" s="30"/>
      <c r="L39" s="31"/>
      <c r="M39" s="30"/>
      <c r="N39" s="29"/>
    </row>
    <row r="40" spans="1:20" ht="5.5" customHeight="1" x14ac:dyDescent="0.25">
      <c r="A40" s="9"/>
      <c r="B40" s="5"/>
      <c r="C40" s="9"/>
      <c r="D40" s="124"/>
      <c r="E40" s="125"/>
      <c r="F40" s="114"/>
      <c r="G40" s="114"/>
      <c r="H40" s="114"/>
      <c r="I40" s="114"/>
      <c r="J40" s="29"/>
      <c r="K40" s="30"/>
      <c r="L40" s="31"/>
      <c r="M40" s="9"/>
      <c r="N40" s="29"/>
    </row>
    <row r="41" spans="1:20" ht="5.5" customHeight="1" x14ac:dyDescent="0.25">
      <c r="A41" s="9"/>
      <c r="B41" s="5"/>
      <c r="C41" s="9"/>
      <c r="D41" s="112"/>
      <c r="E41" s="113"/>
      <c r="F41" s="115"/>
      <c r="G41" s="115"/>
      <c r="H41" s="115"/>
      <c r="I41" s="115"/>
      <c r="J41" s="29"/>
      <c r="K41" s="30"/>
      <c r="L41" s="31"/>
      <c r="M41" s="9"/>
      <c r="N41" s="29"/>
    </row>
    <row r="42" spans="1:20" ht="11.25" customHeight="1" x14ac:dyDescent="0.25">
      <c r="A42" s="9"/>
      <c r="B42" s="5"/>
      <c r="C42" s="9"/>
      <c r="D42" s="108" t="s">
        <v>30</v>
      </c>
      <c r="E42" s="109"/>
      <c r="F42" s="115"/>
      <c r="G42" s="115"/>
      <c r="H42" s="115"/>
      <c r="I42" s="115"/>
      <c r="J42" s="29"/>
      <c r="K42" s="30"/>
      <c r="L42" s="31"/>
      <c r="M42" s="9"/>
      <c r="N42" s="29"/>
    </row>
    <row r="43" spans="1:20" ht="5.5" customHeight="1" x14ac:dyDescent="0.25">
      <c r="A43" s="9"/>
      <c r="B43" s="5"/>
      <c r="C43" s="9"/>
      <c r="D43" s="110"/>
      <c r="E43" s="111"/>
      <c r="F43" s="115"/>
      <c r="G43" s="115"/>
      <c r="H43" s="115"/>
      <c r="I43" s="115"/>
      <c r="J43" s="29"/>
      <c r="K43" s="30"/>
      <c r="L43" s="31"/>
      <c r="M43" s="9"/>
      <c r="N43" s="29"/>
    </row>
    <row r="44" spans="1:20" ht="5.5" customHeight="1" x14ac:dyDescent="0.25">
      <c r="A44" s="9"/>
      <c r="B44" s="5"/>
      <c r="C44" s="9"/>
      <c r="D44" s="164"/>
      <c r="E44" s="165"/>
      <c r="F44" s="114"/>
      <c r="G44" s="114"/>
      <c r="H44" s="114"/>
      <c r="I44" s="114"/>
      <c r="J44" s="29"/>
      <c r="K44" s="30"/>
      <c r="L44" s="31"/>
      <c r="M44" s="9"/>
      <c r="N44" s="29"/>
    </row>
    <row r="45" spans="1:20" ht="11.25" customHeight="1" x14ac:dyDescent="0.25">
      <c r="A45" s="9"/>
      <c r="B45" s="5"/>
      <c r="C45" s="9"/>
      <c r="D45" s="108" t="s">
        <v>31</v>
      </c>
      <c r="E45" s="109"/>
      <c r="F45" s="114"/>
      <c r="G45" s="114"/>
      <c r="H45" s="114"/>
      <c r="I45" s="114"/>
      <c r="J45" s="29"/>
      <c r="K45" s="30"/>
      <c r="L45" s="31"/>
      <c r="M45" s="9"/>
      <c r="N45" s="29"/>
    </row>
    <row r="46" spans="1:20" ht="5.25" customHeight="1" x14ac:dyDescent="0.25">
      <c r="A46" s="9"/>
      <c r="B46" s="5"/>
      <c r="C46" s="9"/>
      <c r="D46" s="110"/>
      <c r="E46" s="111"/>
      <c r="F46" s="114"/>
      <c r="G46" s="114"/>
      <c r="H46" s="114"/>
      <c r="I46" s="114"/>
      <c r="J46" s="29"/>
      <c r="K46" s="30"/>
      <c r="L46" s="31"/>
      <c r="M46" s="9"/>
      <c r="N46" s="29"/>
    </row>
    <row r="47" spans="1:20" ht="5.25" customHeight="1" x14ac:dyDescent="0.25">
      <c r="A47" s="9"/>
      <c r="B47" s="5"/>
      <c r="C47" s="9"/>
      <c r="D47" s="14"/>
      <c r="E47" s="9"/>
      <c r="F47" s="24"/>
      <c r="G47" s="24"/>
      <c r="H47" s="24"/>
      <c r="I47" s="39"/>
      <c r="J47" s="29"/>
      <c r="K47" s="30"/>
      <c r="L47" s="31"/>
      <c r="M47" s="9"/>
      <c r="N47" s="29"/>
    </row>
    <row r="48" spans="1:20" ht="11.25" customHeight="1" x14ac:dyDescent="0.25">
      <c r="A48" s="9"/>
      <c r="B48" s="5"/>
      <c r="C48" s="9"/>
      <c r="D48" s="105" t="s">
        <v>32</v>
      </c>
      <c r="E48" s="106"/>
      <c r="F48" s="106"/>
      <c r="G48" s="106"/>
      <c r="H48" s="106"/>
      <c r="I48" s="107"/>
      <c r="J48" s="29"/>
      <c r="K48" s="30"/>
      <c r="L48" s="31"/>
      <c r="M48" s="9"/>
      <c r="N48" s="29"/>
    </row>
    <row r="49" spans="1:14" ht="11.25" customHeight="1" x14ac:dyDescent="0.25">
      <c r="A49" s="9"/>
      <c r="B49" s="5"/>
      <c r="C49" s="9"/>
      <c r="D49" s="40"/>
      <c r="E49" s="47"/>
      <c r="F49" s="47"/>
      <c r="G49" s="47"/>
      <c r="H49" s="47"/>
      <c r="I49" s="48"/>
      <c r="J49" s="29"/>
      <c r="K49" s="30"/>
      <c r="L49" s="31"/>
      <c r="M49" s="9"/>
      <c r="N49" s="29"/>
    </row>
    <row r="50" spans="1:14" ht="11.25" customHeight="1" x14ac:dyDescent="0.25">
      <c r="A50" s="9"/>
      <c r="B50" s="5"/>
      <c r="C50" s="9"/>
      <c r="D50" s="41"/>
      <c r="E50" s="46"/>
      <c r="F50" s="168"/>
      <c r="G50" s="168"/>
      <c r="H50" s="9"/>
      <c r="I50" s="25"/>
      <c r="J50" s="29"/>
      <c r="K50" s="30"/>
      <c r="L50" s="31"/>
      <c r="M50" s="9"/>
      <c r="N50" s="29"/>
    </row>
    <row r="51" spans="1:14" ht="12.75" customHeight="1" x14ac:dyDescent="0.25">
      <c r="A51" s="9"/>
      <c r="B51" s="5"/>
      <c r="C51" s="9"/>
      <c r="D51" s="42" t="s">
        <v>35</v>
      </c>
      <c r="E51" s="45"/>
      <c r="F51" s="19" t="s">
        <v>34</v>
      </c>
      <c r="G51" s="19"/>
      <c r="H51" s="19"/>
      <c r="I51" s="49" t="s">
        <v>33</v>
      </c>
      <c r="J51" s="29"/>
      <c r="K51" s="9"/>
      <c r="L51" s="9"/>
      <c r="M51" s="9"/>
      <c r="N51" s="29"/>
    </row>
    <row r="52" spans="1:14" ht="12.75" customHeight="1" thickBot="1" x14ac:dyDescent="0.4">
      <c r="A52" s="9"/>
      <c r="B52" s="7"/>
      <c r="C52" s="33"/>
      <c r="D52" s="33"/>
      <c r="E52" s="33"/>
      <c r="F52" s="33"/>
      <c r="G52" s="33"/>
      <c r="H52" s="33"/>
      <c r="I52" s="50"/>
      <c r="J52" s="35"/>
      <c r="K52" s="34"/>
      <c r="L52" s="34"/>
      <c r="M52" s="33"/>
      <c r="N52" s="35"/>
    </row>
    <row r="53" spans="1:14" ht="12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2.75" customHeight="1" x14ac:dyDescent="0.35">
      <c r="A54" s="9"/>
      <c r="B54" s="9"/>
      <c r="C54" s="9"/>
      <c r="D54" s="61"/>
      <c r="E54" s="61"/>
      <c r="F54" s="61"/>
      <c r="G54" s="9"/>
      <c r="H54" s="62"/>
      <c r="I54" s="9"/>
      <c r="J54" s="64"/>
      <c r="K54" s="9"/>
      <c r="L54" s="9"/>
      <c r="M54" s="9"/>
      <c r="N54" s="9"/>
    </row>
    <row r="55" spans="1:14" ht="12.75" customHeight="1" x14ac:dyDescent="0.35">
      <c r="A55" s="9"/>
      <c r="B55" s="9"/>
      <c r="C55" s="9"/>
      <c r="D55" s="61"/>
      <c r="E55" s="61"/>
      <c r="F55" s="61"/>
      <c r="G55" s="62"/>
      <c r="H55" s="62"/>
      <c r="I55" s="9"/>
      <c r="J55" s="64"/>
      <c r="K55" s="9"/>
      <c r="L55" s="9"/>
      <c r="M55" s="9"/>
      <c r="N55" s="9"/>
    </row>
    <row r="56" spans="1:14" ht="12.75" customHeight="1" x14ac:dyDescent="0.35">
      <c r="A56" s="9"/>
      <c r="B56" s="9"/>
      <c r="C56" s="9"/>
      <c r="D56" s="60"/>
      <c r="E56" s="61"/>
      <c r="F56" s="61"/>
      <c r="G56" s="62"/>
      <c r="H56" s="63"/>
      <c r="I56" s="9"/>
      <c r="J56" s="9"/>
      <c r="K56" s="9"/>
      <c r="L56" s="9"/>
      <c r="M56" s="9"/>
      <c r="N56" s="9"/>
    </row>
    <row r="57" spans="1:14" ht="12.75" customHeight="1" x14ac:dyDescent="0.35">
      <c r="A57" s="9"/>
      <c r="B57" s="9"/>
      <c r="C57" s="9"/>
      <c r="D57" s="61"/>
      <c r="E57" s="61"/>
      <c r="F57" s="61"/>
      <c r="G57" s="63"/>
      <c r="H57" s="64"/>
      <c r="I57" s="64"/>
      <c r="J57" s="9"/>
      <c r="K57" s="9"/>
      <c r="L57" s="9"/>
      <c r="M57" s="9"/>
      <c r="N57" s="9"/>
    </row>
    <row r="58" spans="1:14" ht="12.75" customHeight="1" x14ac:dyDescent="0.35">
      <c r="A58" s="9"/>
      <c r="B58" s="65"/>
      <c r="C58" s="65"/>
      <c r="D58" s="9"/>
      <c r="E58" s="9"/>
      <c r="F58" s="64"/>
      <c r="G58" s="64"/>
      <c r="H58" s="9"/>
      <c r="I58" s="9"/>
      <c r="J58" s="9"/>
      <c r="K58" s="9"/>
      <c r="L58" s="9"/>
      <c r="M58" s="9"/>
      <c r="N58" s="9"/>
    </row>
    <row r="59" spans="1:14" ht="12.75" customHeight="1" x14ac:dyDescent="0.25">
      <c r="A59" s="9"/>
      <c r="B59" s="65"/>
      <c r="C59" s="65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2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2.75" customHeight="1" x14ac:dyDescent="0.25">
      <c r="A61" s="9"/>
      <c r="B61" s="15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12.75" customHeight="1" x14ac:dyDescent="0.35">
      <c r="A62" s="9"/>
      <c r="B62" s="155"/>
      <c r="C62" s="9"/>
      <c r="D62" s="9"/>
      <c r="E62" s="9"/>
      <c r="F62" s="9"/>
      <c r="G62" s="9"/>
      <c r="H62" s="62"/>
      <c r="I62" s="64"/>
      <c r="J62" s="9"/>
      <c r="K62" s="9"/>
      <c r="L62" s="9"/>
      <c r="M62" s="9"/>
      <c r="N62" s="9"/>
    </row>
    <row r="63" spans="1:14" ht="12.75" customHeight="1" x14ac:dyDescent="0.35">
      <c r="A63" s="9"/>
      <c r="B63" s="65"/>
      <c r="C63" s="9"/>
      <c r="D63" s="66"/>
      <c r="E63" s="66"/>
      <c r="F63" s="62"/>
      <c r="G63" s="62"/>
      <c r="H63" s="62"/>
      <c r="I63" s="64"/>
      <c r="J63" s="9"/>
      <c r="K63" s="9"/>
      <c r="L63" s="9"/>
      <c r="M63" s="9"/>
      <c r="N63" s="9"/>
    </row>
    <row r="64" spans="1:14" ht="12.75" customHeight="1" x14ac:dyDescent="0.35">
      <c r="A64" s="9"/>
      <c r="B64" s="65"/>
      <c r="C64" s="9"/>
      <c r="D64" s="62"/>
      <c r="E64" s="62"/>
      <c r="F64" s="62"/>
      <c r="G64" s="62"/>
      <c r="H64" s="64"/>
      <c r="I64" s="64"/>
      <c r="J64" s="9"/>
      <c r="K64" s="9"/>
      <c r="L64" s="9"/>
      <c r="M64" s="9"/>
      <c r="N64" s="9"/>
    </row>
    <row r="65" spans="2:7" ht="12.75" customHeight="1" x14ac:dyDescent="0.35">
      <c r="B65" s="54"/>
      <c r="D65" s="3"/>
      <c r="E65" s="3"/>
      <c r="F65" s="3"/>
      <c r="G65" s="3"/>
    </row>
    <row r="66" spans="2:7" ht="12.75" customHeight="1" x14ac:dyDescent="0.25">
      <c r="B66" s="54"/>
    </row>
    <row r="67" spans="2:7" ht="12.75" customHeight="1" x14ac:dyDescent="0.25">
      <c r="B67" s="54"/>
    </row>
    <row r="68" spans="2:7" ht="12.75" customHeight="1" x14ac:dyDescent="0.25">
      <c r="B68" s="54"/>
    </row>
    <row r="69" spans="2:7" ht="12.75" customHeight="1" x14ac:dyDescent="0.25">
      <c r="B69" s="56"/>
    </row>
    <row r="70" spans="2:7" ht="12.75" customHeight="1" x14ac:dyDescent="0.25">
      <c r="B70" s="54"/>
    </row>
    <row r="71" spans="2:7" ht="12.75" customHeight="1" x14ac:dyDescent="0.25">
      <c r="B71" s="55"/>
    </row>
    <row r="72" spans="2:7" ht="12.75" customHeight="1" x14ac:dyDescent="0.25">
      <c r="B72" s="56"/>
    </row>
    <row r="73" spans="2:7" ht="12.75" customHeight="1" x14ac:dyDescent="0.25">
      <c r="B73" s="57"/>
    </row>
    <row r="74" spans="2:7" ht="12.75" customHeight="1" x14ac:dyDescent="0.25">
      <c r="B74" s="57"/>
    </row>
    <row r="75" spans="2:7" ht="12.75" customHeight="1" x14ac:dyDescent="0.25">
      <c r="B75" s="55"/>
    </row>
    <row r="76" spans="2:7" ht="12.75" customHeight="1" x14ac:dyDescent="0.25">
      <c r="B76" s="54"/>
    </row>
    <row r="77" spans="2:7" ht="12.75" customHeight="1" x14ac:dyDescent="0.25">
      <c r="B77" s="54"/>
    </row>
    <row r="78" spans="2:7" ht="12.75" customHeight="1" x14ac:dyDescent="0.25">
      <c r="B78" s="54"/>
    </row>
    <row r="79" spans="2:7" ht="12.75" customHeight="1" x14ac:dyDescent="0.25">
      <c r="B79" s="54"/>
    </row>
    <row r="80" spans="2:7" ht="12.75" customHeight="1" x14ac:dyDescent="0.25">
      <c r="B80" s="58"/>
    </row>
    <row r="81" spans="2:4" ht="12.75" customHeight="1" x14ac:dyDescent="0.35">
      <c r="B81" s="67"/>
      <c r="C81"/>
      <c r="D81"/>
    </row>
    <row r="82" spans="2:4" ht="12.75" customHeight="1" x14ac:dyDescent="0.35">
      <c r="B82" s="59"/>
      <c r="C82"/>
      <c r="D82" s="59"/>
    </row>
    <row r="83" spans="2:4" ht="12.75" customHeight="1" x14ac:dyDescent="0.35">
      <c r="B83" s="59"/>
      <c r="C83"/>
      <c r="D83"/>
    </row>
    <row r="84" spans="2:4" ht="12.75" customHeight="1" x14ac:dyDescent="0.35">
      <c r="B84" s="59"/>
      <c r="C84"/>
      <c r="D84"/>
    </row>
    <row r="85" spans="2:4" ht="12.75" customHeight="1" x14ac:dyDescent="0.35">
      <c r="B85" s="59"/>
      <c r="C85"/>
      <c r="D85"/>
    </row>
    <row r="86" spans="2:4" ht="12.75" customHeight="1" x14ac:dyDescent="0.35">
      <c r="B86" s="59"/>
      <c r="C86"/>
      <c r="D86"/>
    </row>
    <row r="87" spans="2:4" ht="12.75" customHeight="1" x14ac:dyDescent="0.35">
      <c r="B87" s="59"/>
      <c r="C87"/>
      <c r="D87"/>
    </row>
    <row r="88" spans="2:4" ht="12.75" customHeight="1" x14ac:dyDescent="0.35">
      <c r="B88" s="59"/>
      <c r="C88"/>
      <c r="D88"/>
    </row>
    <row r="89" spans="2:4" ht="12.75" customHeight="1" x14ac:dyDescent="0.35">
      <c r="B89" s="59"/>
      <c r="C89"/>
      <c r="D89"/>
    </row>
    <row r="90" spans="2:4" ht="12.75" customHeight="1" x14ac:dyDescent="0.35">
      <c r="B90" s="59"/>
      <c r="C90"/>
      <c r="D90"/>
    </row>
    <row r="102" spans="2:12" ht="12.75" customHeight="1" x14ac:dyDescent="0.25">
      <c r="B102" s="154" t="s">
        <v>83</v>
      </c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</row>
    <row r="146" ht="17.25" customHeight="1" x14ac:dyDescent="0.25"/>
  </sheetData>
  <sheetProtection algorithmName="SHA-512" hashValue="R6B+XKIzOzaLM6XOlCQjtkEKc4jxeLf5sZRH00P1lgAFyq707WkZQwIJSyN7Rn12twIjpv5EJvi6vkYNBRJbYw==" saltValue="RgYF/BpgYeW+e0DtZJVd5A==" spinCount="100000" sheet="1" objects="1" scenarios="1" selectLockedCells="1"/>
  <customSheetViews>
    <customSheetView guid="{19898B3C-F880-11DE-A5CE-0026BB674B30}" scale="200" outlineSymbols="0" fitToPage="1" printArea="1" hiddenColumns="1">
      <selection sqref="A1:K29"/>
      <pageMargins left="0.5" right="0" top="1.31" bottom="0.17" header="0.5" footer="0.5"/>
      <printOptions horizontalCentered="1"/>
      <pageSetup scale="94" orientation="landscape" horizontalDpi="4294967292" verticalDpi="4294967292"/>
      <headerFooter alignWithMargins="0"/>
    </customSheetView>
  </customSheetViews>
  <mergeCells count="40">
    <mergeCell ref="B102:L102"/>
    <mergeCell ref="B61:B62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D44:E44"/>
    <mergeCell ref="D28:I29"/>
    <mergeCell ref="F50:G50"/>
    <mergeCell ref="D46:E46"/>
    <mergeCell ref="E1:H1"/>
    <mergeCell ref="E6:F6"/>
    <mergeCell ref="E4:I4"/>
    <mergeCell ref="D39:E39"/>
    <mergeCell ref="D40:E40"/>
    <mergeCell ref="F38:I40"/>
    <mergeCell ref="D23:I23"/>
    <mergeCell ref="E17:F17"/>
    <mergeCell ref="D30:I31"/>
    <mergeCell ref="D2:I3"/>
    <mergeCell ref="D35:E37"/>
    <mergeCell ref="F35:I37"/>
    <mergeCell ref="D32:I34"/>
    <mergeCell ref="D19:I19"/>
    <mergeCell ref="E21:I21"/>
    <mergeCell ref="E20:I20"/>
    <mergeCell ref="E22:I22"/>
    <mergeCell ref="D48:I48"/>
    <mergeCell ref="D42:E42"/>
    <mergeCell ref="D43:E43"/>
    <mergeCell ref="D41:E41"/>
    <mergeCell ref="D45:E45"/>
    <mergeCell ref="F44:I46"/>
    <mergeCell ref="F41:I43"/>
  </mergeCells>
  <phoneticPr fontId="0" type="noConversion"/>
  <conditionalFormatting sqref="D19:I19">
    <cfRule type="expression" dxfId="3" priority="1">
      <formula>"(Len($D$20)+Len($D$21)+Len($D$22)+Len($D$23) == 0)"</formula>
    </cfRule>
    <cfRule type="expression" dxfId="2" priority="2">
      <formula>(LEN($D$24:$D$27) &gt; 1)</formula>
    </cfRule>
  </conditionalFormatting>
  <conditionalFormatting sqref="D23:I23">
    <cfRule type="expression" dxfId="1" priority="3">
      <formula>"(Len($D$20)+Len($D$21)+Len($D$22)+Len($D$23) == 0)"</formula>
    </cfRule>
    <cfRule type="expression" dxfId="0" priority="5">
      <formula>(LEN($D$24:$D$27) &gt; 1)</formula>
    </cfRule>
  </conditionalFormatting>
  <dataValidations count="2">
    <dataValidation type="decimal" allowBlank="1" showInputMessage="1" showErrorMessage="1" sqref="E8:F9" xr:uid="{42A101FD-4EE1-4F19-BDE2-B21877D15B37}">
      <formula1>0</formula1>
      <formula2>1000</formula2>
    </dataValidation>
    <dataValidation type="decimal" allowBlank="1" showInputMessage="1" showErrorMessage="1" sqref="E13:F13 E16:F16" xr:uid="{431ECDC8-FE49-46A1-AF30-2D945FA4F814}">
      <formula1>0</formula1>
      <formula2>50</formula2>
    </dataValidation>
  </dataValidations>
  <printOptions horizontalCentered="1"/>
  <pageMargins left="0.25" right="0.25" top="0.49" bottom="0.41" header="0.3" footer="0.3"/>
  <pageSetup scale="93" orientation="landscape" horizontalDpi="4294967292" verticalDpi="4294967292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500A7B-581A-491F-A63F-B08A40EBF626}">
          <x14:formula1>
            <xm:f>Data!$F$3:$F$12</xm:f>
          </x14:formula1>
          <xm:sqref>E4:I4</xm:sqref>
        </x14:dataValidation>
        <x14:dataValidation type="decimal" allowBlank="1" showInputMessage="1" showErrorMessage="1" xr:uid="{C49115AF-B839-4ED7-9468-086A93BBCCDB}">
          <x14:formula1>
            <xm:f>0</xm:f>
          </x14:formula1>
          <x14:formula2>
            <xm:f>Data!B18</xm:f>
          </x14:formula2>
          <xm:sqref>E10:F11</xm:sqref>
        </x14:dataValidation>
        <x14:dataValidation type="decimal" allowBlank="1" showErrorMessage="1" error="Oil Level Must Be Within Min and Max Level! Please contact Dispatch or Instructors if you need help." promptTitle="Oil Level" prompt="Please enter actual measured oil level" xr:uid="{5D26031A-C42E-4B10-8079-08752250341E}">
          <x14:formula1>
            <xm:f>VLOOKUP(E4,Data!F3:N12,8,FALSE)</xm:f>
          </x14:formula1>
          <x14:formula2>
            <xm:f>VLOOKUP(E4,Data!F3:N12,9,FALSE)</xm:f>
          </x14:formula2>
          <xm:sqref>E22:I22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EF23-66A6-4F83-A919-C5B1A07C3472}">
  <dimension ref="A1:G73"/>
  <sheetViews>
    <sheetView topLeftCell="A48" workbookViewId="0">
      <selection activeCell="B75" sqref="B75"/>
    </sheetView>
  </sheetViews>
  <sheetFormatPr defaultColWidth="8.84375" defaultRowHeight="12.9" x14ac:dyDescent="0.35"/>
  <cols>
    <col min="1" max="1" width="14.4609375" customWidth="1"/>
    <col min="2" max="2" width="12.3828125" customWidth="1"/>
    <col min="3" max="3" width="55.3828125" customWidth="1"/>
  </cols>
  <sheetData>
    <row r="1" spans="1:7" x14ac:dyDescent="0.35">
      <c r="A1" s="85" t="s">
        <v>52</v>
      </c>
      <c r="B1" s="85" t="s">
        <v>53</v>
      </c>
      <c r="C1" s="85" t="s">
        <v>54</v>
      </c>
    </row>
    <row r="2" spans="1:7" x14ac:dyDescent="0.35">
      <c r="A2" s="84">
        <v>43947</v>
      </c>
      <c r="B2" t="s">
        <v>55</v>
      </c>
      <c r="C2" t="s">
        <v>68</v>
      </c>
    </row>
    <row r="4" spans="1:7" x14ac:dyDescent="0.35">
      <c r="A4" s="84">
        <v>43949</v>
      </c>
      <c r="B4" t="s">
        <v>62</v>
      </c>
      <c r="C4" s="86" t="s">
        <v>63</v>
      </c>
      <c r="D4" s="86"/>
      <c r="E4" s="86"/>
      <c r="F4" s="86"/>
      <c r="G4" s="86"/>
    </row>
    <row r="5" spans="1:7" x14ac:dyDescent="0.35">
      <c r="C5" t="s">
        <v>59</v>
      </c>
    </row>
    <row r="6" spans="1:7" x14ac:dyDescent="0.35">
      <c r="C6" t="s">
        <v>60</v>
      </c>
    </row>
    <row r="7" spans="1:7" x14ac:dyDescent="0.35">
      <c r="C7" t="s">
        <v>61</v>
      </c>
    </row>
    <row r="8" spans="1:7" x14ac:dyDescent="0.35">
      <c r="C8" t="s">
        <v>67</v>
      </c>
    </row>
    <row r="10" spans="1:7" x14ac:dyDescent="0.35">
      <c r="A10" s="84">
        <v>43950</v>
      </c>
      <c r="B10" t="s">
        <v>64</v>
      </c>
      <c r="C10" t="s">
        <v>65</v>
      </c>
    </row>
    <row r="11" spans="1:7" x14ac:dyDescent="0.35">
      <c r="C11" t="s">
        <v>66</v>
      </c>
    </row>
    <row r="13" spans="1:7" x14ac:dyDescent="0.35">
      <c r="A13" s="84">
        <v>43953</v>
      </c>
      <c r="B13" t="s">
        <v>69</v>
      </c>
      <c r="C13" t="s">
        <v>70</v>
      </c>
    </row>
    <row r="15" spans="1:7" x14ac:dyDescent="0.35">
      <c r="A15" s="84">
        <v>43955</v>
      </c>
      <c r="B15" t="s">
        <v>71</v>
      </c>
      <c r="C15" t="s">
        <v>72</v>
      </c>
    </row>
    <row r="17" spans="1:3" x14ac:dyDescent="0.35">
      <c r="A17" s="84">
        <v>43960</v>
      </c>
      <c r="B17" t="s">
        <v>74</v>
      </c>
      <c r="C17" t="s">
        <v>75</v>
      </c>
    </row>
    <row r="19" spans="1:3" x14ac:dyDescent="0.35">
      <c r="A19" s="84">
        <v>43960</v>
      </c>
      <c r="B19" t="s">
        <v>76</v>
      </c>
      <c r="C19" t="s">
        <v>77</v>
      </c>
    </row>
    <row r="21" spans="1:3" x14ac:dyDescent="0.35">
      <c r="A21" s="84">
        <v>43961</v>
      </c>
      <c r="B21" t="s">
        <v>78</v>
      </c>
      <c r="C21" t="s">
        <v>81</v>
      </c>
    </row>
    <row r="22" spans="1:3" x14ac:dyDescent="0.35">
      <c r="C22" t="s">
        <v>82</v>
      </c>
    </row>
    <row r="24" spans="1:3" x14ac:dyDescent="0.35">
      <c r="A24" s="84">
        <v>43996</v>
      </c>
      <c r="B24" t="s">
        <v>84</v>
      </c>
      <c r="C24" t="s">
        <v>85</v>
      </c>
    </row>
    <row r="26" spans="1:3" x14ac:dyDescent="0.35">
      <c r="A26" s="84">
        <v>44038</v>
      </c>
      <c r="B26" t="s">
        <v>86</v>
      </c>
      <c r="C26" t="s">
        <v>87</v>
      </c>
    </row>
    <row r="28" spans="1:3" x14ac:dyDescent="0.35">
      <c r="A28" s="84">
        <v>44078</v>
      </c>
      <c r="B28" t="s">
        <v>88</v>
      </c>
      <c r="C28" t="s">
        <v>89</v>
      </c>
    </row>
    <row r="30" spans="1:3" x14ac:dyDescent="0.35">
      <c r="A30" s="84">
        <v>44137</v>
      </c>
      <c r="B30" t="s">
        <v>92</v>
      </c>
      <c r="C30" t="s">
        <v>93</v>
      </c>
    </row>
    <row r="32" spans="1:3" x14ac:dyDescent="0.35">
      <c r="A32" s="84">
        <v>44343</v>
      </c>
      <c r="B32" t="s">
        <v>98</v>
      </c>
      <c r="C32" t="s">
        <v>101</v>
      </c>
    </row>
    <row r="34" spans="1:3" x14ac:dyDescent="0.35">
      <c r="A34" s="84">
        <v>44343</v>
      </c>
      <c r="B34" t="s">
        <v>99</v>
      </c>
      <c r="C34" t="s">
        <v>100</v>
      </c>
    </row>
    <row r="36" spans="1:3" x14ac:dyDescent="0.35">
      <c r="A36" s="84">
        <v>44359</v>
      </c>
      <c r="B36" t="s">
        <v>102</v>
      </c>
      <c r="C36" t="s">
        <v>103</v>
      </c>
    </row>
    <row r="37" spans="1:3" x14ac:dyDescent="0.35">
      <c r="C37" t="s">
        <v>105</v>
      </c>
    </row>
    <row r="39" spans="1:3" x14ac:dyDescent="0.35">
      <c r="A39" s="84">
        <v>44379</v>
      </c>
      <c r="B39" t="s">
        <v>106</v>
      </c>
      <c r="C39" t="s">
        <v>107</v>
      </c>
    </row>
    <row r="41" spans="1:3" x14ac:dyDescent="0.35">
      <c r="A41" s="84">
        <v>44431</v>
      </c>
      <c r="B41" t="s">
        <v>108</v>
      </c>
      <c r="C41" t="s">
        <v>107</v>
      </c>
    </row>
    <row r="43" spans="1:3" x14ac:dyDescent="0.35">
      <c r="A43" s="84">
        <v>44474</v>
      </c>
      <c r="B43" t="s">
        <v>109</v>
      </c>
      <c r="C43" t="s">
        <v>107</v>
      </c>
    </row>
    <row r="45" spans="1:3" x14ac:dyDescent="0.35">
      <c r="A45" s="84">
        <v>44738</v>
      </c>
      <c r="B45" t="s">
        <v>110</v>
      </c>
      <c r="C45" t="s">
        <v>111</v>
      </c>
    </row>
    <row r="47" spans="1:3" x14ac:dyDescent="0.35">
      <c r="A47" s="84">
        <v>44794</v>
      </c>
      <c r="B47" t="s">
        <v>112</v>
      </c>
      <c r="C47" t="s">
        <v>113</v>
      </c>
    </row>
    <row r="49" spans="1:3" x14ac:dyDescent="0.35">
      <c r="A49" s="84">
        <v>44803</v>
      </c>
      <c r="B49" t="s">
        <v>114</v>
      </c>
      <c r="C49" t="s">
        <v>115</v>
      </c>
    </row>
    <row r="51" spans="1:3" x14ac:dyDescent="0.35">
      <c r="A51" s="84">
        <v>44936</v>
      </c>
      <c r="B51" t="s">
        <v>116</v>
      </c>
      <c r="C51" t="s">
        <v>117</v>
      </c>
    </row>
    <row r="53" spans="1:3" x14ac:dyDescent="0.35">
      <c r="A53" s="84">
        <v>44966</v>
      </c>
      <c r="B53" t="s">
        <v>118</v>
      </c>
      <c r="C53" t="s">
        <v>119</v>
      </c>
    </row>
    <row r="55" spans="1:3" x14ac:dyDescent="0.35">
      <c r="A55" s="84">
        <v>45028</v>
      </c>
      <c r="B55" t="s">
        <v>120</v>
      </c>
      <c r="C55" t="s">
        <v>121</v>
      </c>
    </row>
    <row r="56" spans="1:3" x14ac:dyDescent="0.35">
      <c r="A56" s="84"/>
    </row>
    <row r="57" spans="1:3" x14ac:dyDescent="0.35">
      <c r="A57" s="84">
        <v>45268</v>
      </c>
      <c r="B57" t="s">
        <v>123</v>
      </c>
      <c r="C57" t="s">
        <v>107</v>
      </c>
    </row>
    <row r="59" spans="1:3" x14ac:dyDescent="0.35">
      <c r="A59" s="84">
        <v>45373</v>
      </c>
      <c r="B59" t="s">
        <v>125</v>
      </c>
      <c r="C59" t="s">
        <v>124</v>
      </c>
    </row>
    <row r="61" spans="1:3" x14ac:dyDescent="0.35">
      <c r="A61" s="84">
        <v>45419</v>
      </c>
      <c r="B61" t="s">
        <v>126</v>
      </c>
      <c r="C61" t="s">
        <v>127</v>
      </c>
    </row>
    <row r="63" spans="1:3" x14ac:dyDescent="0.35">
      <c r="A63" s="84">
        <v>45476</v>
      </c>
      <c r="B63" t="s">
        <v>128</v>
      </c>
      <c r="C63" t="s">
        <v>107</v>
      </c>
    </row>
    <row r="65" spans="1:3" x14ac:dyDescent="0.35">
      <c r="A65" s="84">
        <v>45525</v>
      </c>
      <c r="B65" t="s">
        <v>129</v>
      </c>
      <c r="C65" t="s">
        <v>127</v>
      </c>
    </row>
    <row r="67" spans="1:3" x14ac:dyDescent="0.35">
      <c r="A67" s="84">
        <v>45615</v>
      </c>
      <c r="B67" t="s">
        <v>130</v>
      </c>
      <c r="C67" t="s">
        <v>121</v>
      </c>
    </row>
    <row r="69" spans="1:3" x14ac:dyDescent="0.35">
      <c r="A69" s="84">
        <v>45771</v>
      </c>
      <c r="B69" t="s">
        <v>131</v>
      </c>
      <c r="C69" t="s">
        <v>117</v>
      </c>
    </row>
    <row r="71" spans="1:3" x14ac:dyDescent="0.35">
      <c r="A71" s="84">
        <v>45807</v>
      </c>
      <c r="B71" t="s">
        <v>132</v>
      </c>
      <c r="C71" t="s">
        <v>133</v>
      </c>
    </row>
    <row r="73" spans="1:3" x14ac:dyDescent="0.35">
      <c r="A73" s="84">
        <v>45895</v>
      </c>
      <c r="B73" t="s">
        <v>134</v>
      </c>
      <c r="C73" t="s">
        <v>135</v>
      </c>
    </row>
  </sheetData>
  <sheetProtection algorithmName="SHA-512" hashValue="dC4M95lE3goTZfvlHKr0+mqUo8voQXU9bio04XpRxcA/C9pMta3WTKRDAoferPuUNq/GdLcw8NE9X5Z0sKfXVQ==" saltValue="Jwa23BJiM5cQ2DoGhgaj6g==" spinCount="100000" sheet="1" objects="1" scenarios="1" selectLockedCells="1" selectUnlockedCell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B38-C5BA-4B89-AE86-6C7443E4D577}">
  <sheetPr codeName="Sheet3"/>
  <dimension ref="A1:Y32"/>
  <sheetViews>
    <sheetView zoomScaleNormal="100" workbookViewId="0">
      <selection activeCell="O5" sqref="O5"/>
    </sheetView>
  </sheetViews>
  <sheetFormatPr defaultColWidth="8.84375" defaultRowHeight="12.9" x14ac:dyDescent="0.35"/>
  <cols>
    <col min="1" max="1" width="3.3828125" customWidth="1"/>
    <col min="2" max="2" width="6.3828125" customWidth="1"/>
    <col min="3" max="3" width="2" customWidth="1"/>
    <col min="4" max="4" width="2.15234375" customWidth="1"/>
    <col min="5" max="5" width="2.4609375" customWidth="1"/>
    <col min="6" max="6" width="8.61328125" customWidth="1"/>
    <col min="7" max="7" width="13.61328125" customWidth="1"/>
    <col min="8" max="8" width="12.4609375" customWidth="1"/>
    <col min="9" max="9" width="11" customWidth="1"/>
    <col min="10" max="10" width="10.4609375" customWidth="1"/>
    <col min="11" max="11" width="8.61328125" customWidth="1"/>
    <col min="12" max="12" width="14" customWidth="1"/>
    <col min="25" max="25" width="2" customWidth="1"/>
  </cols>
  <sheetData>
    <row r="1" spans="1:25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5" x14ac:dyDescent="0.35">
      <c r="A2" s="88"/>
      <c r="B2" s="171" t="s">
        <v>13</v>
      </c>
      <c r="C2" s="171"/>
      <c r="D2" s="171"/>
      <c r="E2" s="88"/>
      <c r="F2" s="89" t="s">
        <v>41</v>
      </c>
      <c r="G2" s="89" t="s">
        <v>42</v>
      </c>
      <c r="H2" s="89" t="s">
        <v>46</v>
      </c>
      <c r="I2" s="89" t="s">
        <v>43</v>
      </c>
      <c r="J2" s="89" t="s">
        <v>40</v>
      </c>
      <c r="K2" s="89" t="s">
        <v>47</v>
      </c>
      <c r="L2" s="89" t="s">
        <v>73</v>
      </c>
      <c r="M2" s="89" t="s">
        <v>90</v>
      </c>
      <c r="N2" s="89" t="s">
        <v>91</v>
      </c>
    </row>
    <row r="3" spans="1:25" x14ac:dyDescent="0.35">
      <c r="A3" s="88"/>
      <c r="B3" s="90">
        <v>31</v>
      </c>
      <c r="C3" s="169">
        <v>1000</v>
      </c>
      <c r="D3" s="170"/>
      <c r="E3" s="88"/>
      <c r="F3" s="91" t="s">
        <v>14</v>
      </c>
      <c r="G3" s="91">
        <v>1184.73</v>
      </c>
      <c r="H3" s="91">
        <v>1670</v>
      </c>
      <c r="I3" s="91">
        <v>31.32</v>
      </c>
      <c r="J3" s="91">
        <v>42</v>
      </c>
      <c r="K3" s="91">
        <v>24.5</v>
      </c>
      <c r="L3" s="91">
        <v>37107.019999999997</v>
      </c>
      <c r="M3" s="91">
        <v>4</v>
      </c>
      <c r="N3" s="91">
        <v>6</v>
      </c>
      <c r="Y3" t="b">
        <f>'C152'!H17&lt;B3</f>
        <v>0</v>
      </c>
    </row>
    <row r="4" spans="1:25" x14ac:dyDescent="0.35">
      <c r="A4" s="88"/>
      <c r="B4" s="90">
        <v>31</v>
      </c>
      <c r="C4" s="169">
        <v>1350</v>
      </c>
      <c r="D4" s="170"/>
      <c r="E4" s="88"/>
      <c r="F4" s="91" t="s">
        <v>15</v>
      </c>
      <c r="G4" s="91">
        <v>1200.4000000000001</v>
      </c>
      <c r="H4" s="91">
        <v>1670</v>
      </c>
      <c r="I4" s="91">
        <v>30.27</v>
      </c>
      <c r="J4" s="91">
        <v>42</v>
      </c>
      <c r="K4" s="91">
        <v>24.5</v>
      </c>
      <c r="L4" s="91">
        <v>36337.43</v>
      </c>
      <c r="M4" s="91">
        <v>4</v>
      </c>
      <c r="N4" s="91">
        <v>6</v>
      </c>
      <c r="Y4" t="b">
        <f>OR(AND('C152'!G17&lt;C6,'C152'!G17&gt;(C4+(C6-C4)*('C152'!H17-B4)/(B6-B4))))</f>
        <v>0</v>
      </c>
    </row>
    <row r="5" spans="1:25" x14ac:dyDescent="0.35">
      <c r="A5" s="88"/>
      <c r="B5" s="90">
        <v>32</v>
      </c>
      <c r="C5" s="169">
        <v>1540</v>
      </c>
      <c r="D5" s="170"/>
      <c r="E5" s="88"/>
      <c r="F5" s="91" t="s">
        <v>16</v>
      </c>
      <c r="G5" s="91">
        <v>1214.8</v>
      </c>
      <c r="H5" s="91">
        <v>1670</v>
      </c>
      <c r="I5" s="91">
        <v>31.03</v>
      </c>
      <c r="J5" s="91">
        <v>42</v>
      </c>
      <c r="K5" s="91">
        <v>24.5</v>
      </c>
      <c r="L5" s="91">
        <v>37695.269999999997</v>
      </c>
      <c r="M5" s="91">
        <v>4</v>
      </c>
      <c r="N5" s="91">
        <v>6</v>
      </c>
      <c r="Y5" t="b">
        <f>OR(AND('C152'!G17&lt;C7,'C152'!G17&gt;(C6+(C7-C6)*('C152'!H17-B6)/(B7-B6))))</f>
        <v>0</v>
      </c>
    </row>
    <row r="6" spans="1:25" x14ac:dyDescent="0.35">
      <c r="A6" s="88"/>
      <c r="B6" s="90">
        <v>32.6</v>
      </c>
      <c r="C6" s="169">
        <v>1670</v>
      </c>
      <c r="D6" s="170"/>
      <c r="E6" s="88"/>
      <c r="F6" s="91" t="s">
        <v>17</v>
      </c>
      <c r="G6" s="91">
        <v>1196</v>
      </c>
      <c r="H6" s="91">
        <v>1670</v>
      </c>
      <c r="I6" s="91">
        <v>31.06</v>
      </c>
      <c r="J6" s="91">
        <v>42</v>
      </c>
      <c r="K6" s="91">
        <v>24.5</v>
      </c>
      <c r="L6" s="91">
        <v>37149.74</v>
      </c>
      <c r="M6" s="91">
        <v>4</v>
      </c>
      <c r="N6" s="91">
        <v>6</v>
      </c>
    </row>
    <row r="7" spans="1:25" x14ac:dyDescent="0.35">
      <c r="A7" s="88"/>
      <c r="B7" s="90">
        <v>36.5</v>
      </c>
      <c r="C7" s="169">
        <v>1670</v>
      </c>
      <c r="D7" s="170"/>
      <c r="E7" s="88"/>
      <c r="F7" s="91" t="s">
        <v>18</v>
      </c>
      <c r="G7" s="91">
        <v>1190</v>
      </c>
      <c r="H7" s="91">
        <v>1670</v>
      </c>
      <c r="I7" s="91">
        <v>30.47</v>
      </c>
      <c r="J7" s="91">
        <v>42</v>
      </c>
      <c r="K7" s="91">
        <v>24.5</v>
      </c>
      <c r="L7" s="91">
        <v>36263.93</v>
      </c>
      <c r="M7" s="91">
        <v>4</v>
      </c>
      <c r="N7" s="91">
        <v>6</v>
      </c>
    </row>
    <row r="8" spans="1:25" x14ac:dyDescent="0.35">
      <c r="A8" s="88"/>
      <c r="B8" s="90">
        <v>36.5</v>
      </c>
      <c r="C8" s="169">
        <v>1000</v>
      </c>
      <c r="D8" s="170"/>
      <c r="E8" s="88"/>
      <c r="F8" s="91" t="s">
        <v>19</v>
      </c>
      <c r="G8" s="91">
        <v>1218.7</v>
      </c>
      <c r="H8" s="91">
        <v>1670</v>
      </c>
      <c r="I8" s="91">
        <v>31.01</v>
      </c>
      <c r="J8" s="91">
        <v>39.5</v>
      </c>
      <c r="K8" s="91">
        <v>37.5</v>
      </c>
      <c r="L8" s="91">
        <v>37792.019999999997</v>
      </c>
      <c r="M8" s="91">
        <v>4</v>
      </c>
      <c r="N8" s="91">
        <v>6</v>
      </c>
    </row>
    <row r="9" spans="1:25" x14ac:dyDescent="0.35">
      <c r="A9" s="88"/>
      <c r="B9" s="92"/>
      <c r="C9" s="92"/>
      <c r="D9" s="92"/>
      <c r="E9" s="88"/>
      <c r="F9" s="91" t="s">
        <v>20</v>
      </c>
      <c r="G9" s="91">
        <v>1193.7</v>
      </c>
      <c r="H9" s="91">
        <v>1670</v>
      </c>
      <c r="I9" s="91">
        <v>30.72</v>
      </c>
      <c r="J9" s="91">
        <v>39.5</v>
      </c>
      <c r="K9" s="91">
        <v>24.5</v>
      </c>
      <c r="L9" s="91">
        <v>36668.800000000003</v>
      </c>
      <c r="M9" s="91">
        <v>4</v>
      </c>
      <c r="N9" s="91">
        <v>6</v>
      </c>
    </row>
    <row r="10" spans="1:25" x14ac:dyDescent="0.35">
      <c r="A10" s="88"/>
      <c r="B10" s="174" t="s">
        <v>24</v>
      </c>
      <c r="C10" s="174"/>
      <c r="D10" s="174"/>
      <c r="E10" s="88"/>
      <c r="F10" s="91" t="s">
        <v>21</v>
      </c>
      <c r="G10" s="91">
        <v>1189.73</v>
      </c>
      <c r="H10" s="91">
        <v>1670</v>
      </c>
      <c r="I10" s="91">
        <v>30.18</v>
      </c>
      <c r="J10" s="91">
        <v>42</v>
      </c>
      <c r="K10" s="91">
        <v>24.5</v>
      </c>
      <c r="L10" s="91">
        <v>35901.360000000001</v>
      </c>
      <c r="M10" s="91">
        <v>4</v>
      </c>
      <c r="N10" s="91">
        <v>6</v>
      </c>
    </row>
    <row r="11" spans="1:25" x14ac:dyDescent="0.35">
      <c r="A11" s="88"/>
      <c r="B11" s="93">
        <f>'C152'!G12</f>
        <v>1184.73</v>
      </c>
      <c r="C11" s="175">
        <f>'C152'!H12</f>
        <v>31.321077376279824</v>
      </c>
      <c r="D11" s="175"/>
      <c r="E11" s="88"/>
      <c r="F11" s="91" t="s">
        <v>97</v>
      </c>
      <c r="G11" s="98">
        <v>1211.0999999999999</v>
      </c>
      <c r="H11" s="91">
        <v>1670</v>
      </c>
      <c r="I11" s="91">
        <v>30.86</v>
      </c>
      <c r="J11" s="91">
        <v>40</v>
      </c>
      <c r="K11" s="91">
        <v>24.5</v>
      </c>
      <c r="L11" s="91">
        <v>37375.449999999997</v>
      </c>
      <c r="M11" s="91">
        <v>4</v>
      </c>
      <c r="N11" s="91">
        <v>6</v>
      </c>
    </row>
    <row r="12" spans="1:25" x14ac:dyDescent="0.35">
      <c r="A12" s="88"/>
      <c r="B12" s="93">
        <f>'C152'!G17</f>
        <v>1179.93</v>
      </c>
      <c r="C12" s="175">
        <f>'C152'!H17</f>
        <v>31.277635113947433</v>
      </c>
      <c r="D12" s="175"/>
      <c r="E12" s="88"/>
      <c r="F12" s="91" t="s">
        <v>104</v>
      </c>
      <c r="G12" s="98">
        <v>1180.1500000000001</v>
      </c>
      <c r="H12" s="91">
        <v>1670</v>
      </c>
      <c r="I12" s="91">
        <v>30.84</v>
      </c>
      <c r="J12" s="91">
        <v>40</v>
      </c>
      <c r="K12" s="91">
        <v>37.5</v>
      </c>
      <c r="L12" s="91">
        <v>36399.21</v>
      </c>
      <c r="M12" s="91">
        <v>4</v>
      </c>
      <c r="N12" s="91">
        <v>6</v>
      </c>
    </row>
    <row r="13" spans="1:25" x14ac:dyDescent="0.35">
      <c r="A13" s="88"/>
      <c r="B13" s="93">
        <f>'C152'!G15</f>
        <v>1179.93</v>
      </c>
      <c r="C13" s="175">
        <f>'C152'!H15</f>
        <v>31.277635113947433</v>
      </c>
      <c r="D13" s="175"/>
      <c r="E13" s="88"/>
      <c r="F13" s="88"/>
      <c r="G13" s="88"/>
      <c r="H13" s="88"/>
      <c r="I13" s="88"/>
      <c r="J13" s="88"/>
      <c r="K13" s="88"/>
      <c r="L13" s="88"/>
    </row>
    <row r="14" spans="1:25" x14ac:dyDescent="0.35">
      <c r="A14" s="88"/>
      <c r="B14" s="92"/>
      <c r="C14" s="92"/>
      <c r="D14" s="92"/>
      <c r="E14" s="88"/>
      <c r="F14" s="88"/>
      <c r="G14" s="88"/>
      <c r="H14" s="88"/>
      <c r="I14" s="88"/>
      <c r="J14" s="88"/>
      <c r="K14" s="88"/>
      <c r="L14" s="88"/>
    </row>
    <row r="15" spans="1:25" x14ac:dyDescent="0.35">
      <c r="A15" s="88"/>
      <c r="B15" s="176" t="s">
        <v>7</v>
      </c>
      <c r="C15" s="177"/>
      <c r="D15" s="178"/>
      <c r="E15" s="88"/>
      <c r="F15" s="88"/>
      <c r="G15" s="88"/>
      <c r="H15" s="88"/>
      <c r="I15" s="88"/>
      <c r="J15" s="88"/>
      <c r="K15" s="88"/>
      <c r="L15" s="88"/>
    </row>
    <row r="16" spans="1:25" x14ac:dyDescent="0.35">
      <c r="A16" s="88"/>
      <c r="B16" s="94">
        <f>VLOOKUP('C152'!E4, Data!F3:J12, 3, FALSE)</f>
        <v>1670</v>
      </c>
      <c r="C16" s="172" t="s">
        <v>25</v>
      </c>
      <c r="D16" s="173"/>
      <c r="E16" s="88"/>
      <c r="F16" s="88"/>
      <c r="G16" s="88"/>
      <c r="H16" s="88"/>
      <c r="I16" s="88"/>
      <c r="J16" s="88"/>
      <c r="K16" s="88"/>
      <c r="L16" s="88"/>
    </row>
    <row r="17" spans="1:12" x14ac:dyDescent="0.35">
      <c r="A17" s="88"/>
      <c r="B17" s="94">
        <f>VLOOKUP('C152'!E4, Data!F3:J12, 2, FALSE)</f>
        <v>1184.73</v>
      </c>
      <c r="C17" s="172" t="s">
        <v>26</v>
      </c>
      <c r="D17" s="173"/>
      <c r="E17" s="88"/>
      <c r="F17" s="88"/>
      <c r="G17" s="88"/>
      <c r="H17" s="88"/>
      <c r="I17" s="88"/>
      <c r="J17" s="88"/>
      <c r="K17" s="88"/>
      <c r="L17" s="88"/>
    </row>
    <row r="18" spans="1:12" x14ac:dyDescent="0.35">
      <c r="A18" s="88"/>
      <c r="B18" s="95">
        <v>120</v>
      </c>
      <c r="C18" s="172" t="s">
        <v>44</v>
      </c>
      <c r="D18" s="173"/>
      <c r="E18" s="88"/>
      <c r="F18" s="88"/>
      <c r="G18" s="88"/>
      <c r="H18" s="88"/>
      <c r="I18" s="88"/>
      <c r="J18" s="88"/>
      <c r="K18" s="88"/>
      <c r="L18" s="88"/>
    </row>
    <row r="19" spans="1:12" x14ac:dyDescent="0.35">
      <c r="A19" s="88"/>
      <c r="B19" s="95">
        <v>40</v>
      </c>
      <c r="C19" s="172" t="s">
        <v>45</v>
      </c>
      <c r="D19" s="173"/>
      <c r="E19" s="88"/>
      <c r="F19" s="88"/>
      <c r="G19" s="88"/>
      <c r="H19" s="88"/>
      <c r="I19" s="88"/>
      <c r="J19" s="88"/>
      <c r="K19" s="88"/>
      <c r="L19" s="88"/>
    </row>
    <row r="20" spans="1:12" x14ac:dyDescent="0.35">
      <c r="A20" s="88"/>
      <c r="B20" s="94">
        <f>VLOOKUP('C152'!E4, Data!F3:K12, 6, FALSE)</f>
        <v>24.5</v>
      </c>
      <c r="C20" s="172" t="s">
        <v>27</v>
      </c>
      <c r="D20" s="173"/>
      <c r="E20" s="88"/>
      <c r="F20" s="88"/>
      <c r="G20" s="88"/>
      <c r="H20" s="88"/>
      <c r="I20" s="88"/>
      <c r="J20" s="88"/>
      <c r="K20" s="88"/>
      <c r="L20" s="88"/>
    </row>
    <row r="21" spans="1:12" x14ac:dyDescent="0.35">
      <c r="A21" s="88"/>
      <c r="B21" s="94">
        <v>0</v>
      </c>
      <c r="C21" s="172" t="s">
        <v>28</v>
      </c>
      <c r="D21" s="173"/>
      <c r="E21" s="88"/>
      <c r="F21" s="88"/>
      <c r="G21" s="88"/>
      <c r="H21" s="88"/>
      <c r="I21" s="88"/>
      <c r="J21" s="88"/>
      <c r="K21" s="88"/>
      <c r="L21" s="88"/>
    </row>
    <row r="22" spans="1:12" x14ac:dyDescent="0.3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1:12" x14ac:dyDescent="0.3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spans="1:12" x14ac:dyDescent="0.35">
      <c r="A24" s="88"/>
      <c r="B24" s="89" t="s">
        <v>50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x14ac:dyDescent="0.35">
      <c r="A25" s="88"/>
      <c r="B25" s="91" t="s">
        <v>56</v>
      </c>
      <c r="C25" s="88"/>
      <c r="D25" s="88"/>
      <c r="E25" s="88"/>
      <c r="F25" s="88"/>
      <c r="G25" s="96"/>
      <c r="H25" s="96"/>
      <c r="I25" s="88"/>
      <c r="J25" s="88"/>
      <c r="K25" s="88"/>
      <c r="L25" s="88"/>
    </row>
    <row r="26" spans="1:12" x14ac:dyDescent="0.35">
      <c r="A26" s="88"/>
      <c r="B26" s="91" t="s">
        <v>48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1:12" x14ac:dyDescent="0.35">
      <c r="A27" s="88"/>
      <c r="B27" s="88" t="s">
        <v>49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x14ac:dyDescent="0.3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1:12" x14ac:dyDescent="0.3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1:12" x14ac:dyDescent="0.3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1:12" x14ac:dyDescent="0.3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1:12" x14ac:dyDescent="0.3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</sheetData>
  <sheetProtection algorithmName="SHA-512" hashValue="wq2yMovFTzcw/GNtnzUG7AT5hSLQrIrASdBXS9XbaML1gZpMPnFdzDsDHjTQ4eylITM1NHqAnGysMOnhsaQCCw==" saltValue="9cPdKaEkywx3SKZxJNI6HQ==" spinCount="100000" sheet="1" objects="1" scenarios="1" selectLockedCells="1" selectUnlockedCells="1"/>
  <mergeCells count="18">
    <mergeCell ref="C21:D21"/>
    <mergeCell ref="B10:D10"/>
    <mergeCell ref="C11:D11"/>
    <mergeCell ref="C12:D12"/>
    <mergeCell ref="C13:D13"/>
    <mergeCell ref="C16:D16"/>
    <mergeCell ref="C17:D17"/>
    <mergeCell ref="C18:D18"/>
    <mergeCell ref="C20:D20"/>
    <mergeCell ref="B15:D15"/>
    <mergeCell ref="C19:D19"/>
    <mergeCell ref="C7:D7"/>
    <mergeCell ref="C8:D8"/>
    <mergeCell ref="B2:D2"/>
    <mergeCell ref="C3:D3"/>
    <mergeCell ref="C4:D4"/>
    <mergeCell ref="C5:D5"/>
    <mergeCell ref="C6:D6"/>
  </mergeCells>
  <phoneticPr fontId="35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C152</vt:lpstr>
      <vt:lpstr>Changelogs</vt:lpstr>
      <vt:lpstr>Data</vt:lpstr>
      <vt:lpstr>idents</vt:lpstr>
      <vt:lpstr>'C152'!Print_Area</vt:lpstr>
    </vt:vector>
  </TitlesOfParts>
  <Company>Pacific Professional Flight Centre</Company>
  <LinksUpToDate>false</LinksUpToDate>
  <SharedDoc>false</SharedDoc>
  <HyperlinkBase>www.proifr.com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Cessna 152 Weight &amp; Balance Calculator</dc:title>
  <dc:subject>Weight &amp; Balance Calculator</dc:subject>
  <dc:creator>info@proifr.com</dc:creator>
  <cp:keywords/>
  <dc:description>For use by pilots and students at Pacific Professional Flight Centre</dc:description>
  <cp:lastModifiedBy>Jia Gong</cp:lastModifiedBy>
  <cp:lastPrinted>2024-03-24T01:36:34Z</cp:lastPrinted>
  <dcterms:created xsi:type="dcterms:W3CDTF">2020-04-27T03:27:57Z</dcterms:created>
  <dcterms:modified xsi:type="dcterms:W3CDTF">2025-08-26T16:48:33Z</dcterms:modified>
  <cp:category>Weight and Balance Calculator</cp:category>
</cp:coreProperties>
</file>