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PPFC\Admin and Dispatch\Electronic W &amp; B\Release Candidate\"/>
    </mc:Choice>
  </mc:AlternateContent>
  <xr:revisionPtr revIDLastSave="0" documentId="13_ncr:1_{951BE3C5-DE96-4FA1-BC0E-EF39925DA358}" xr6:coauthVersionLast="47" xr6:coauthVersionMax="47" xr10:uidLastSave="{00000000-0000-0000-0000-000000000000}"/>
  <bookViews>
    <workbookView xWindow="34290" yWindow="-110" windowWidth="34620" windowHeight="14620" xr2:uid="{00000000-000D-0000-FFFF-FFFF00000000}"/>
  </bookViews>
  <sheets>
    <sheet name="C172" sheetId="1" r:id="rId1"/>
    <sheet name="Changelog" sheetId="3" r:id="rId2"/>
    <sheet name="Data" sheetId="2" state="hidden" r:id="rId3"/>
  </sheets>
  <definedNames>
    <definedName name="idents">Data!$F$3:$F$9</definedName>
    <definedName name="_xlnm.Print_Area" localSheetId="0">'C172'!$B$1:$O$53,'C172'!$C$83:$Q$128</definedName>
    <definedName name="Z_19898B3C_F880_11DE_A5CE_0026BB674B30_.wvu.Cols" localSheetId="0" hidden="1">'C172'!$O:$R</definedName>
    <definedName name="Z_19898B3C_F880_11DE_A5CE_0026BB674B30_.wvu.PrintArea" localSheetId="0" hidden="1">'C172'!$B$2:$T$57</definedName>
  </definedNames>
  <calcPr calcId="191029"/>
  <customWorkbookViews>
    <customWorkbookView name="main view" guid="{19898B3C-F880-11DE-A5CE-0026BB674B30}" showHorizontalScroll="0" showVerticalScroll="0" showSheetTabs="0" xWindow="50" yWindow="23" windowWidth="1722" windowHeight="853" activeSheetId="1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2" l="1"/>
  <c r="C6" i="2"/>
  <c r="C5" i="2"/>
  <c r="C4" i="2"/>
  <c r="C3" i="2"/>
  <c r="B7" i="2"/>
  <c r="B6" i="2"/>
  <c r="B5" i="2"/>
  <c r="B4" i="2"/>
  <c r="B3" i="2"/>
  <c r="B20" i="2"/>
  <c r="B17" i="2"/>
  <c r="B16" i="2"/>
  <c r="C33" i="2"/>
  <c r="C32" i="2"/>
  <c r="C31" i="2"/>
  <c r="C30" i="2"/>
  <c r="C29" i="2"/>
  <c r="B33" i="2"/>
  <c r="B32" i="2"/>
  <c r="B31" i="2"/>
  <c r="B30" i="2"/>
  <c r="B29" i="2"/>
  <c r="J22" i="1"/>
  <c r="J21" i="1"/>
  <c r="M17" i="1"/>
  <c r="M15" i="1"/>
  <c r="M14" i="1"/>
  <c r="N7" i="1"/>
  <c r="M7" i="1"/>
  <c r="L7" i="1"/>
  <c r="J26" i="1"/>
  <c r="J1" i="1" l="1"/>
  <c r="I26" i="1" l="1"/>
  <c r="L10" i="1" l="1"/>
  <c r="N10" i="1" s="1"/>
  <c r="C37" i="2" l="1"/>
  <c r="C38" i="2"/>
  <c r="I28" i="1" l="1"/>
  <c r="I16" i="1" l="1"/>
  <c r="L9" i="1" l="1"/>
  <c r="L17" i="1" l="1"/>
  <c r="N17" i="1" s="1"/>
  <c r="L11" i="1"/>
  <c r="N11" i="1" s="1"/>
  <c r="N9" i="1"/>
  <c r="L8" i="1"/>
  <c r="L12" i="1"/>
  <c r="N12" i="1" s="1"/>
  <c r="L14" i="1"/>
  <c r="N14" i="1" s="1"/>
  <c r="N15" i="1"/>
  <c r="L13" i="1" l="1"/>
  <c r="N8" i="1"/>
  <c r="B11" i="2" l="1"/>
  <c r="L16" i="1"/>
  <c r="N13" i="1"/>
  <c r="K19" i="1" l="1"/>
  <c r="I19" i="1"/>
  <c r="B13" i="2"/>
  <c r="M13" i="1"/>
  <c r="L18" i="1"/>
  <c r="N16" i="1"/>
  <c r="I25" i="1" l="1"/>
  <c r="M16" i="1"/>
  <c r="C13" i="2" s="1"/>
  <c r="N18" i="1"/>
  <c r="M18" i="1" s="1"/>
  <c r="B12" i="2"/>
  <c r="C11" i="2"/>
  <c r="C36" i="2" l="1"/>
  <c r="I27" i="1" s="1"/>
  <c r="C12" i="2"/>
</calcChain>
</file>

<file path=xl/sharedStrings.xml><?xml version="1.0" encoding="utf-8"?>
<sst xmlns="http://schemas.openxmlformats.org/spreadsheetml/2006/main" count="180" uniqueCount="174">
  <si>
    <t>Qty</t>
  </si>
  <si>
    <t>Weight</t>
  </si>
  <si>
    <t>Arm</t>
  </si>
  <si>
    <t>Moment</t>
  </si>
  <si>
    <t>Basic Empty Weight</t>
  </si>
  <si>
    <t>Pilot</t>
  </si>
  <si>
    <t>Co-Pilot</t>
  </si>
  <si>
    <t>Aircraft Specifications</t>
  </si>
  <si>
    <t>Fuel Allowance for taxi/runup</t>
  </si>
  <si>
    <t xml:space="preserve"> </t>
  </si>
  <si>
    <t>* The maximum allowable weight in baggage area 1 &amp; 2 combined is 120 lbs</t>
  </si>
  <si>
    <t>Zero Fuel</t>
  </si>
  <si>
    <t>Landing Weight</t>
  </si>
  <si>
    <t>WB Graph Envelope (Red)</t>
  </si>
  <si>
    <t>Weight and Balance Worksheet</t>
  </si>
  <si>
    <t>WB Moment Graph Points</t>
  </si>
  <si>
    <t>Maximum gross weight</t>
  </si>
  <si>
    <t>Basic empty weight</t>
  </si>
  <si>
    <t>Fuel max gal</t>
  </si>
  <si>
    <t>Fuel Min gal</t>
  </si>
  <si>
    <t xml:space="preserve"> Trainee's Acknowledgement:</t>
  </si>
  <si>
    <t xml:space="preserve"> Instructor's Name:</t>
  </si>
  <si>
    <t xml:space="preserve"> Flight Instructor's Authorization:</t>
  </si>
  <si>
    <t xml:space="preserve"> Pre-Flight Inspection and Breifing Completed:</t>
  </si>
  <si>
    <t>Student Initials</t>
  </si>
  <si>
    <t>Instructor Initials</t>
  </si>
  <si>
    <t>Flight Authorization</t>
  </si>
  <si>
    <t>!!! Warning Messages !!!</t>
  </si>
  <si>
    <r>
      <t xml:space="preserve">Baggage Area 1 </t>
    </r>
    <r>
      <rPr>
        <sz val="8"/>
        <color theme="4" tint="-0.249977111117893"/>
        <rFont val="Arial"/>
        <family val="2"/>
      </rPr>
      <t>(120 lbs max)</t>
    </r>
  </si>
  <si>
    <t>Fuel Arm</t>
  </si>
  <si>
    <t>Ident</t>
  </si>
  <si>
    <t>Empty Weight</t>
  </si>
  <si>
    <t>Empty Arm</t>
  </si>
  <si>
    <t>Baggage maximum 1</t>
  </si>
  <si>
    <t>Baggage maximum 2</t>
  </si>
  <si>
    <t>Max Fuel</t>
  </si>
  <si>
    <t>Landing</t>
  </si>
  <si>
    <t>Takeoff</t>
  </si>
  <si>
    <t>Chart Label</t>
  </si>
  <si>
    <t>Initials</t>
  </si>
  <si>
    <t>Rear Passenger #1</t>
  </si>
  <si>
    <t>Rear Passenger #2</t>
  </si>
  <si>
    <t>172N Envelope</t>
  </si>
  <si>
    <t>172N Utility Category</t>
  </si>
  <si>
    <t>172P Envelope</t>
  </si>
  <si>
    <t>172P Utility Category</t>
  </si>
  <si>
    <t>C-GCZN</t>
  </si>
  <si>
    <t>C-GWCG</t>
  </si>
  <si>
    <t>C-GWOK</t>
  </si>
  <si>
    <t>C-GHFH</t>
  </si>
  <si>
    <t>C-GZTI</t>
  </si>
  <si>
    <t>X1</t>
  </si>
  <si>
    <t>X2</t>
  </si>
  <si>
    <t>X3</t>
  </si>
  <si>
    <t>X4</t>
  </si>
  <si>
    <t>X5</t>
  </si>
  <si>
    <t>Y1</t>
  </si>
  <si>
    <t>Y2</t>
  </si>
  <si>
    <t>Y3</t>
  </si>
  <si>
    <t>Y4</t>
  </si>
  <si>
    <t>Y5</t>
  </si>
  <si>
    <t>UX1</t>
  </si>
  <si>
    <t>UX2</t>
  </si>
  <si>
    <t>UX3</t>
  </si>
  <si>
    <t>UX4</t>
  </si>
  <si>
    <t>UX5</t>
  </si>
  <si>
    <t>UY1</t>
  </si>
  <si>
    <t>UY2</t>
  </si>
  <si>
    <t>UY3</t>
  </si>
  <si>
    <t>UY4</t>
  </si>
  <si>
    <t>UY5</t>
  </si>
  <si>
    <t>Max Weight</t>
  </si>
  <si>
    <t>172 Utility Category</t>
  </si>
  <si>
    <t>Cessna 172</t>
  </si>
  <si>
    <t>Co-Pilot Seat Name</t>
  </si>
  <si>
    <t>Pilot Seat Name</t>
  </si>
  <si>
    <t>Rear Passengers</t>
  </si>
  <si>
    <r>
      <t xml:space="preserve">Baggage Area 2 </t>
    </r>
    <r>
      <rPr>
        <sz val="8"/>
        <color theme="4" tint="-0.249977111117893"/>
        <rFont val="Arial"/>
        <family val="2"/>
      </rPr>
      <t>(50 lbs Max)</t>
    </r>
  </si>
  <si>
    <t>Condition1</t>
  </si>
  <si>
    <t>Condition2</t>
  </si>
  <si>
    <t>Condition3</t>
  </si>
  <si>
    <t xml:space="preserve"> Date:</t>
  </si>
  <si>
    <t>Date</t>
  </si>
  <si>
    <t>Version</t>
  </si>
  <si>
    <t>Changes</t>
  </si>
  <si>
    <t>ZFW</t>
  </si>
  <si>
    <t>W&amp;B Data Calculated at:</t>
  </si>
  <si>
    <t>Both instructor and student acknowledge that this flight will be carried out according to Professional Flight Centre's rules and will obey all Canadian Aviaiton Regualations</t>
  </si>
  <si>
    <t>1. Added ZFW point to CoG plot</t>
  </si>
  <si>
    <t>2. Edited Fuel Onboard wording</t>
  </si>
  <si>
    <t>3. Edited Weight Limit Warning Message</t>
  </si>
  <si>
    <t>4. Edited Fuel Limit Warning Message</t>
  </si>
  <si>
    <t>1. Removed all Macros</t>
  </si>
  <si>
    <t>2. Correct typo in Flight Authorization Message</t>
  </si>
  <si>
    <t>5. Correct a miscalculation in Underweight value</t>
  </si>
  <si>
    <t>1. Initial version with up-to-date airplane weight and CG data</t>
  </si>
  <si>
    <t>C-FQNC</t>
  </si>
  <si>
    <t>172.0.0.4</t>
  </si>
  <si>
    <t>172.0.0.3</t>
  </si>
  <si>
    <t>172.0.0.2</t>
  </si>
  <si>
    <t>172.0.0.1</t>
  </si>
  <si>
    <t>1. Correct typo for C-FQNC Ident</t>
  </si>
  <si>
    <t>172.0.0.5</t>
  </si>
  <si>
    <t>1. Updated aircraft emty weight, empty arm and empty moment based on Journey Log/WnB report</t>
  </si>
  <si>
    <t>Empty Moment</t>
  </si>
  <si>
    <t>1. Change fuel burn wording from 6 lbs / US gal to US GAL</t>
  </si>
  <si>
    <t>2. Added Flight Planning Sheet as 2nd page to print</t>
  </si>
  <si>
    <t>172.0.0.6</t>
  </si>
  <si>
    <r>
      <t xml:space="preserve">Fuel Onboard </t>
    </r>
    <r>
      <rPr>
        <sz val="8"/>
        <color theme="4" tint="-0.249977111117893"/>
        <rFont val="Arial"/>
        <family val="2"/>
      </rPr>
      <t>(US GAL)</t>
    </r>
  </si>
  <si>
    <r>
      <t xml:space="preserve">Fuel Burn in gal </t>
    </r>
    <r>
      <rPr>
        <sz val="8"/>
        <color theme="4" tint="-0.249977111117893"/>
        <rFont val="Arial"/>
        <family val="2"/>
      </rPr>
      <t>(US GAL)</t>
    </r>
  </si>
  <si>
    <t>Following (Non-Editable) Sheet Will be Printed as Second Page</t>
  </si>
  <si>
    <t>C-GXRG</t>
  </si>
  <si>
    <t>172.0.0.7</t>
  </si>
  <si>
    <t>1. Added New Aircraft: C-GXRG 172R</t>
  </si>
  <si>
    <t>2. Underweight and overweight message was not displayed correctly sometimes</t>
  </si>
  <si>
    <t>172.0.0.8</t>
  </si>
  <si>
    <t xml:space="preserve">1. Updated GWOK Empty Weight Parameters following ADS-B Installation </t>
  </si>
  <si>
    <t>172.0.0.9</t>
  </si>
  <si>
    <t>1. Updated 172 Pilot/Baggage arms to lateest values</t>
  </si>
  <si>
    <t>172.0.0.10</t>
  </si>
  <si>
    <t>1. Updated WOK's Weight and C of G</t>
  </si>
  <si>
    <t>Oil Min</t>
  </si>
  <si>
    <t>Oil Max</t>
  </si>
  <si>
    <t>172.0.0.11</t>
  </si>
  <si>
    <t>1. Added Oil Information Based on POH</t>
  </si>
  <si>
    <t>Aircraft Oil Requirements</t>
  </si>
  <si>
    <t>Minimum (Based on POH)</t>
  </si>
  <si>
    <t>Maximum (Based on POH)</t>
  </si>
  <si>
    <t>C-FVPV</t>
  </si>
  <si>
    <t>172.0.0.12</t>
  </si>
  <si>
    <t>1. Added New Aircraft C-FVPV 172R</t>
  </si>
  <si>
    <t>172.0.0.13</t>
  </si>
  <si>
    <t>1. Corrected C-GWOK Basic Empty Weight Moment</t>
  </si>
  <si>
    <t>172.0.0.14</t>
  </si>
  <si>
    <t>2. Added New Aircraft C-GIFM 172M</t>
  </si>
  <si>
    <t>1. Removed C-GRXV</t>
  </si>
  <si>
    <t>C-GIFM</t>
  </si>
  <si>
    <t>172.0.0.15</t>
  </si>
  <si>
    <t>1. Updated Pre-Flight Planning Sheet</t>
  </si>
  <si>
    <t>172.0.0.16</t>
  </si>
  <si>
    <t>172.0.0.17</t>
  </si>
  <si>
    <t>1. Updated C-GZTI Empty Weight, COG and Total Moment</t>
  </si>
  <si>
    <t>1. Updated C-GHFH Empty Weight, COG and Total Moment</t>
  </si>
  <si>
    <t>172.0.0.18</t>
  </si>
  <si>
    <t>1. Updated C-GWOK Empty Weight, COG and Total Moment</t>
  </si>
  <si>
    <t>172.0.0.19</t>
  </si>
  <si>
    <t>1. Updatesd C-GWCG Empty Weight, COG and Total Moment</t>
  </si>
  <si>
    <t>172.0.0.20</t>
  </si>
  <si>
    <t>1. Updated C-GXRG Empty Weight, COG and Total Moment</t>
  </si>
  <si>
    <t>172.0.0.21</t>
  </si>
  <si>
    <t>1. Updated PRE-Flight Planning Worksheet</t>
  </si>
  <si>
    <t>172.0.0.22</t>
  </si>
  <si>
    <t>1. Correct typo in Pre-Flight Planning Worksheet</t>
  </si>
  <si>
    <t>172.0.0.23</t>
  </si>
  <si>
    <t>1. Updated C-GXRG Empty Weight and Total Moment</t>
  </si>
  <si>
    <t>172.0.0.24</t>
  </si>
  <si>
    <t>1. Updated C-GIFM Empty Weight and Total Moment</t>
  </si>
  <si>
    <t>Measured Oil Level (quarts)</t>
  </si>
  <si>
    <t>172.0.0.25</t>
  </si>
  <si>
    <t>1. Added Oil Level Field</t>
  </si>
  <si>
    <t>C-GGCG</t>
  </si>
  <si>
    <t>172.0.0.26</t>
  </si>
  <si>
    <t>1. Added C-GGCG</t>
  </si>
  <si>
    <t>172.0.0.27</t>
  </si>
  <si>
    <t>1. Updated C-FVPF Empty Weight and Total Moment</t>
  </si>
  <si>
    <t>1. Updated C-GGCG Empty Weight and Total Moment</t>
  </si>
  <si>
    <t>172.0.0.29</t>
  </si>
  <si>
    <t>172.0.0.28</t>
  </si>
  <si>
    <t>1. Corrected C-GGCG Max Fuel</t>
  </si>
  <si>
    <t>172.0.0.30</t>
  </si>
  <si>
    <t>172.0.0.31</t>
  </si>
  <si>
    <t>172.0.0.32</t>
  </si>
  <si>
    <t>1. Updated C-GXRG and C-FVPV Max Fuel</t>
  </si>
  <si>
    <t>Ver. 172.0.0.32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</si>
</sst>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;[Red]0.0"/>
    <numFmt numFmtId="166" formatCode="m/d/yyyy\ hh:mm:ss\ AM/PM"/>
  </numFmts>
  <fonts count="37" x14ac:knownFonts="1">
    <font>
      <sz val="10"/>
      <name val="MS Sans Serif"/>
    </font>
    <font>
      <sz val="8"/>
      <name val="Arial"/>
      <family val="2"/>
    </font>
    <font>
      <sz val="8"/>
      <color indexed="1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20"/>
      <name val="Arial"/>
      <family val="2"/>
    </font>
    <font>
      <sz val="10"/>
      <color indexed="18"/>
      <name val="MS Sans Serif"/>
    </font>
    <font>
      <sz val="10"/>
      <name val="MS Sans Serif"/>
    </font>
    <font>
      <i/>
      <sz val="8"/>
      <color indexed="18"/>
      <name val="Arial"/>
      <family val="2"/>
    </font>
    <font>
      <i/>
      <sz val="10"/>
      <color indexed="18"/>
      <name val="MS Sans Serif"/>
    </font>
    <font>
      <sz val="10"/>
      <name val="MS Sans Serif"/>
    </font>
    <font>
      <sz val="10"/>
      <name val="Courier New"/>
      <family val="3"/>
    </font>
    <font>
      <sz val="8"/>
      <color indexed="8"/>
      <name val="Arial"/>
      <family val="2"/>
    </font>
    <font>
      <i/>
      <sz val="8"/>
      <color indexed="32"/>
      <name val="Arial"/>
      <family val="2"/>
    </font>
    <font>
      <b/>
      <sz val="8"/>
      <color theme="1"/>
      <name val="Arial"/>
      <family val="2"/>
    </font>
    <font>
      <sz val="8"/>
      <color theme="4"/>
      <name val="Arial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8"/>
      <color indexed="8"/>
      <name val="Calibri Light"/>
      <family val="2"/>
      <scheme val="major"/>
    </font>
    <font>
      <sz val="10"/>
      <color indexed="10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b/>
      <sz val="10"/>
      <name val="Arial"/>
      <family val="2"/>
    </font>
    <font>
      <b/>
      <sz val="1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i/>
      <sz val="14"/>
      <name val="Arial Black"/>
      <family val="2"/>
    </font>
    <font>
      <sz val="10"/>
      <name val="Arial"/>
      <family val="2"/>
    </font>
    <font>
      <sz val="5"/>
      <name val="Arial"/>
      <family val="2"/>
    </font>
    <font>
      <b/>
      <u/>
      <sz val="10"/>
      <name val="Arial"/>
      <family val="2"/>
    </font>
    <font>
      <sz val="13"/>
      <name val="Arial"/>
      <family val="2"/>
    </font>
    <font>
      <sz val="4"/>
      <name val="Arial"/>
      <family val="2"/>
    </font>
    <font>
      <sz val="9.5"/>
      <name val="Arial"/>
      <family val="2"/>
    </font>
    <font>
      <i/>
      <sz val="10"/>
      <color theme="0"/>
      <name val="Arial Black"/>
      <family val="2"/>
    </font>
    <font>
      <b/>
      <sz val="10"/>
      <name val="MS Sans Serif"/>
    </font>
    <font>
      <sz val="8"/>
      <name val="MS Sans Serif"/>
    </font>
    <font>
      <sz val="9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18" xfId="0" applyFont="1" applyFill="1" applyBorder="1"/>
    <xf numFmtId="0" fontId="1" fillId="2" borderId="5" xfId="0" applyFont="1" applyFill="1" applyBorder="1"/>
    <xf numFmtId="0" fontId="13" fillId="2" borderId="5" xfId="0" applyFont="1" applyFill="1" applyBorder="1"/>
    <xf numFmtId="0" fontId="1" fillId="2" borderId="4" xfId="0" applyFont="1" applyFill="1" applyBorder="1"/>
    <xf numFmtId="1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0" xfId="0" applyFont="1" applyFill="1"/>
    <xf numFmtId="0" fontId="1" fillId="2" borderId="14" xfId="0" applyFont="1" applyFill="1" applyBorder="1"/>
    <xf numFmtId="0" fontId="3" fillId="2" borderId="14" xfId="0" applyFont="1" applyFill="1" applyBorder="1" applyAlignment="1">
      <alignment horizontal="right"/>
    </xf>
    <xf numFmtId="0" fontId="1" fillId="2" borderId="8" xfId="0" applyFont="1" applyFill="1" applyBorder="1"/>
    <xf numFmtId="165" fontId="1" fillId="2" borderId="11" xfId="0" applyNumberFormat="1" applyFont="1" applyFill="1" applyBorder="1"/>
    <xf numFmtId="0" fontId="4" fillId="2" borderId="8" xfId="0" applyFont="1" applyFill="1" applyBorder="1"/>
    <xf numFmtId="0" fontId="1" fillId="2" borderId="11" xfId="0" applyFont="1" applyFill="1" applyBorder="1"/>
    <xf numFmtId="2" fontId="1" fillId="2" borderId="0" xfId="0" applyNumberFormat="1" applyFont="1" applyFill="1"/>
    <xf numFmtId="2" fontId="1" fillId="2" borderId="11" xfId="0" applyNumberFormat="1" applyFont="1" applyFill="1" applyBorder="1"/>
    <xf numFmtId="0" fontId="4" fillId="2" borderId="7" xfId="0" applyFont="1" applyFill="1" applyBorder="1"/>
    <xf numFmtId="0" fontId="1" fillId="2" borderId="1" xfId="0" applyFont="1" applyFill="1" applyBorder="1"/>
    <xf numFmtId="0" fontId="5" fillId="2" borderId="1" xfId="0" applyFont="1" applyFill="1" applyBorder="1"/>
    <xf numFmtId="0" fontId="5" fillId="2" borderId="12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2" xfId="0" applyFont="1" applyFill="1" applyBorder="1"/>
    <xf numFmtId="0" fontId="9" fillId="2" borderId="19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" fillId="2" borderId="6" xfId="0" applyFont="1" applyFill="1" applyBorder="1"/>
    <xf numFmtId="0" fontId="12" fillId="2" borderId="0" xfId="0" applyFont="1" applyFill="1"/>
    <xf numFmtId="0" fontId="12" fillId="2" borderId="0" xfId="0" quotePrefix="1" applyFont="1" applyFill="1" applyAlignment="1">
      <alignment wrapText="1"/>
    </xf>
    <xf numFmtId="164" fontId="12" fillId="2" borderId="0" xfId="0" applyNumberFormat="1" applyFont="1" applyFill="1"/>
    <xf numFmtId="0" fontId="1" fillId="2" borderId="13" xfId="0" applyFont="1" applyFill="1" applyBorder="1"/>
    <xf numFmtId="0" fontId="12" fillId="2" borderId="13" xfId="0" applyFont="1" applyFill="1" applyBorder="1"/>
    <xf numFmtId="0" fontId="1" fillId="2" borderId="3" xfId="0" applyFont="1" applyFill="1" applyBorder="1"/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0" fontId="13" fillId="2" borderId="0" xfId="0" applyFont="1" applyFill="1"/>
    <xf numFmtId="0" fontId="1" fillId="2" borderId="1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4" fillId="2" borderId="0" xfId="0" applyFont="1" applyFill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7" xfId="0" applyFont="1" applyFill="1" applyBorder="1"/>
    <xf numFmtId="1" fontId="10" fillId="2" borderId="13" xfId="0" applyNumberFormat="1" applyFont="1" applyFill="1" applyBorder="1"/>
    <xf numFmtId="0" fontId="3" fillId="0" borderId="0" xfId="0" applyFont="1"/>
    <xf numFmtId="164" fontId="1" fillId="0" borderId="0" xfId="0" applyNumberFormat="1" applyFont="1"/>
    <xf numFmtId="0" fontId="1" fillId="0" borderId="0" xfId="0" quotePrefix="1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11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6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32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" fillId="3" borderId="14" xfId="0" applyFont="1" applyFill="1" applyBorder="1" applyAlignment="1">
      <alignment vertical="center"/>
    </xf>
    <xf numFmtId="0" fontId="15" fillId="3" borderId="14" xfId="0" applyFont="1" applyFill="1" applyBorder="1" applyAlignment="1">
      <alignment vertical="center"/>
    </xf>
    <xf numFmtId="0" fontId="14" fillId="3" borderId="14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center" vertical="center"/>
    </xf>
    <xf numFmtId="164" fontId="1" fillId="3" borderId="14" xfId="0" applyNumberFormat="1" applyFont="1" applyFill="1" applyBorder="1"/>
    <xf numFmtId="2" fontId="1" fillId="3" borderId="14" xfId="0" applyNumberFormat="1" applyFont="1" applyFill="1" applyBorder="1"/>
    <xf numFmtId="3" fontId="15" fillId="3" borderId="14" xfId="0" applyNumberFormat="1" applyFont="1" applyFill="1" applyBorder="1"/>
    <xf numFmtId="3" fontId="14" fillId="3" borderId="14" xfId="0" applyNumberFormat="1" applyFont="1" applyFill="1" applyBorder="1"/>
    <xf numFmtId="3" fontId="3" fillId="3" borderId="14" xfId="0" applyNumberFormat="1" applyFont="1" applyFill="1" applyBorder="1"/>
    <xf numFmtId="0" fontId="15" fillId="3" borderId="14" xfId="0" applyFont="1" applyFill="1" applyBorder="1"/>
    <xf numFmtId="164" fontId="15" fillId="3" borderId="14" xfId="0" applyNumberFormat="1" applyFont="1" applyFill="1" applyBorder="1"/>
    <xf numFmtId="164" fontId="14" fillId="3" borderId="14" xfId="0" applyNumberFormat="1" applyFont="1" applyFill="1" applyBorder="1"/>
    <xf numFmtId="164" fontId="3" fillId="3" borderId="14" xfId="0" applyNumberFormat="1" applyFont="1" applyFill="1" applyBorder="1"/>
    <xf numFmtId="0" fontId="1" fillId="2" borderId="15" xfId="0" applyFont="1" applyFill="1" applyBorder="1"/>
    <xf numFmtId="0" fontId="32" fillId="2" borderId="0" xfId="0" applyFont="1" applyFill="1" applyAlignment="1">
      <alignment horizontal="left" vertical="center"/>
    </xf>
    <xf numFmtId="166" fontId="1" fillId="0" borderId="13" xfId="0" applyNumberFormat="1" applyFont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15" fontId="0" fillId="0" borderId="0" xfId="0" applyNumberFormat="1"/>
    <xf numFmtId="0" fontId="33" fillId="0" borderId="0" xfId="0" applyFont="1"/>
    <xf numFmtId="0" fontId="0" fillId="0" borderId="0" xfId="0" applyAlignment="1">
      <alignment horizontal="left"/>
    </xf>
    <xf numFmtId="0" fontId="33" fillId="0" borderId="14" xfId="0" applyFont="1" applyBorder="1"/>
    <xf numFmtId="1" fontId="18" fillId="0" borderId="14" xfId="0" applyNumberFormat="1" applyFont="1" applyBorder="1" applyAlignment="1">
      <alignment horizontal="center"/>
    </xf>
    <xf numFmtId="0" fontId="0" fillId="0" borderId="14" xfId="0" applyBorder="1"/>
    <xf numFmtId="1" fontId="18" fillId="0" borderId="0" xfId="0" applyNumberFormat="1" applyFont="1" applyAlignment="1">
      <alignment horizontal="center"/>
    </xf>
    <xf numFmtId="0" fontId="17" fillId="0" borderId="0" xfId="0" applyFont="1"/>
    <xf numFmtId="0" fontId="17" fillId="0" borderId="14" xfId="0" applyFont="1" applyBorder="1"/>
    <xf numFmtId="164" fontId="17" fillId="0" borderId="14" xfId="0" applyNumberFormat="1" applyFont="1" applyBorder="1"/>
    <xf numFmtId="164" fontId="12" fillId="0" borderId="14" xfId="0" applyNumberFormat="1" applyFont="1" applyBorder="1"/>
    <xf numFmtId="0" fontId="12" fillId="0" borderId="14" xfId="0" applyFont="1" applyBorder="1"/>
    <xf numFmtId="1" fontId="17" fillId="0" borderId="14" xfId="0" applyNumberFormat="1" applyFont="1" applyBorder="1"/>
    <xf numFmtId="4" fontId="1" fillId="3" borderId="14" xfId="0" applyNumberFormat="1" applyFont="1" applyFill="1" applyBorder="1"/>
    <xf numFmtId="0" fontId="3" fillId="2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6" fillId="2" borderId="0" xfId="0" applyFont="1" applyFill="1"/>
    <xf numFmtId="0" fontId="35" fillId="3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" fillId="2" borderId="14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3" fillId="2" borderId="8" xfId="0" applyFont="1" applyFill="1" applyBorder="1"/>
    <xf numFmtId="0" fontId="3" fillId="2" borderId="11" xfId="0" applyFont="1" applyFill="1" applyBorder="1"/>
    <xf numFmtId="0" fontId="1" fillId="2" borderId="7" xfId="0" applyFont="1" applyFill="1" applyBorder="1"/>
    <xf numFmtId="0" fontId="1" fillId="2" borderId="12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2" borderId="14" xfId="0" applyFont="1" applyFill="1" applyBorder="1" applyAlignment="1">
      <alignment horizontal="left"/>
    </xf>
    <xf numFmtId="0" fontId="35" fillId="2" borderId="15" xfId="0" applyFont="1" applyFill="1" applyBorder="1" applyAlignment="1" applyProtection="1">
      <alignment horizontal="center"/>
      <protection locked="0"/>
    </xf>
    <xf numFmtId="0" fontId="35" fillId="2" borderId="16" xfId="0" applyFont="1" applyFill="1" applyBorder="1" applyAlignment="1" applyProtection="1">
      <alignment horizontal="center"/>
      <protection locked="0"/>
    </xf>
    <xf numFmtId="0" fontId="35" fillId="2" borderId="17" xfId="0" applyFont="1" applyFill="1" applyBorder="1" applyAlignment="1" applyProtection="1">
      <alignment horizontal="center"/>
      <protection locked="0"/>
    </xf>
    <xf numFmtId="166" fontId="1" fillId="0" borderId="13" xfId="0" applyNumberFormat="1" applyFont="1" applyBorder="1" applyAlignment="1">
      <alignment horizontal="center"/>
    </xf>
    <xf numFmtId="0" fontId="3" fillId="2" borderId="15" xfId="0" applyFont="1" applyFill="1" applyBorder="1" applyAlignment="1">
      <alignment horizontal="right"/>
    </xf>
    <xf numFmtId="0" fontId="3" fillId="2" borderId="17" xfId="0" applyFont="1" applyFill="1" applyBorder="1" applyAlignment="1">
      <alignment horizontal="right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1" fillId="0" borderId="7" xfId="0" applyFont="1" applyBorder="1"/>
    <xf numFmtId="0" fontId="1" fillId="0" borderId="12" xfId="0" applyFont="1" applyBorder="1"/>
    <xf numFmtId="0" fontId="19" fillId="3" borderId="15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22" fillId="3" borderId="9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15" fillId="2" borderId="15" xfId="0" applyFont="1" applyFill="1" applyBorder="1" applyProtection="1">
      <protection locked="0"/>
    </xf>
    <xf numFmtId="0" fontId="15" fillId="2" borderId="17" xfId="0" applyFont="1" applyFill="1" applyBorder="1" applyProtection="1">
      <protection locked="0"/>
    </xf>
    <xf numFmtId="0" fontId="3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 applyProtection="1">
      <alignment horizontal="left" wrapText="1"/>
      <protection locked="0"/>
    </xf>
    <xf numFmtId="0" fontId="21" fillId="2" borderId="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/>
    </xf>
    <xf numFmtId="0" fontId="26" fillId="3" borderId="16" xfId="0" applyFont="1" applyFill="1" applyBorder="1" applyAlignment="1">
      <alignment horizontal="center"/>
    </xf>
    <xf numFmtId="0" fontId="26" fillId="3" borderId="17" xfId="0" applyFont="1" applyFill="1" applyBorder="1" applyAlignment="1">
      <alignment horizontal="center"/>
    </xf>
    <xf numFmtId="0" fontId="32" fillId="2" borderId="0" xfId="0" applyFont="1" applyFill="1" applyAlignment="1">
      <alignment horizontal="left" vertical="center"/>
    </xf>
    <xf numFmtId="0" fontId="1" fillId="3" borderId="15" xfId="0" applyFont="1" applyFill="1" applyBorder="1"/>
    <xf numFmtId="0" fontId="1" fillId="3" borderId="17" xfId="0" applyFont="1" applyFill="1" applyBorder="1"/>
    <xf numFmtId="1" fontId="15" fillId="2" borderId="15" xfId="0" applyNumberFormat="1" applyFont="1" applyFill="1" applyBorder="1" applyProtection="1">
      <protection locked="0"/>
    </xf>
    <xf numFmtId="1" fontId="15" fillId="2" borderId="17" xfId="0" applyNumberFormat="1" applyFont="1" applyFill="1" applyBorder="1" applyProtection="1">
      <protection locked="0"/>
    </xf>
    <xf numFmtId="0" fontId="14" fillId="3" borderId="15" xfId="0" applyFont="1" applyFill="1" applyBorder="1"/>
    <xf numFmtId="0" fontId="14" fillId="3" borderId="17" xfId="0" applyFont="1" applyFill="1" applyBorder="1"/>
    <xf numFmtId="0" fontId="15" fillId="3" borderId="15" xfId="0" applyFont="1" applyFill="1" applyBorder="1"/>
    <xf numFmtId="0" fontId="15" fillId="3" borderId="17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20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16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quotePrefix="1" applyFont="1" applyBorder="1" applyAlignment="1">
      <alignment horizontal="center"/>
    </xf>
    <xf numFmtId="0" fontId="17" fillId="0" borderId="17" xfId="0" quotePrefix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14" xfId="0" applyFont="1" applyBorder="1"/>
    <xf numFmtId="0" fontId="16" fillId="0" borderId="15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33" fillId="0" borderId="17" xfId="0" applyFont="1" applyBorder="1" applyAlignment="1">
      <alignment horizontal="left"/>
    </xf>
  </cellXfs>
  <cellStyles count="1">
    <cellStyle name="Normal" xfId="0" builtinId="0"/>
  </cellStyles>
  <dxfs count="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46953302993696"/>
          <c:y val="5.0209316155769887E-2"/>
          <c:w val="0.74718121663125447"/>
          <c:h val="0.8177361558644433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Data!$B$3:$B$7</c:f>
              <c:numCache>
                <c:formatCode>0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38.5</c:v>
                </c:pt>
                <c:pt idx="3">
                  <c:v>47.25</c:v>
                </c:pt>
                <c:pt idx="4">
                  <c:v>47.25</c:v>
                </c:pt>
              </c:numCache>
            </c:numRef>
          </c:xVal>
          <c:yVal>
            <c:numRef>
              <c:f>Data!$C$3:$C$7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2300</c:v>
                </c:pt>
                <c:pt idx="3">
                  <c:v>2300</c:v>
                </c:pt>
                <c:pt idx="4">
                  <c:v>1500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BD-704A-855B-33EC7CE5A4F9}"/>
            </c:ext>
          </c:extLst>
        </c:ser>
        <c:ser>
          <c:idx val="1"/>
          <c:order val="1"/>
          <c:tx>
            <c:v>WB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B6E9232-EF1B-45B7-8FFA-38DA5CB9BD5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FDE-4945-A23D-1C0DBB34495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526C701-E7EF-444C-B36D-A31F5215DB88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FDE-4945-A23D-1C0DBB34495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1512C4-AC33-4834-9327-8E431589F415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2B7-4AFD-BE92-2F874AFF2E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Data!$C$11:$C$13</c:f>
              <c:numCache>
                <c:formatCode>General</c:formatCode>
                <c:ptCount val="3"/>
                <c:pt idx="0">
                  <c:v>39.686414443044214</c:v>
                </c:pt>
                <c:pt idx="1">
                  <c:v>39.64636496269992</c:v>
                </c:pt>
                <c:pt idx="2">
                  <c:v>39.64636496269992</c:v>
                </c:pt>
              </c:numCache>
            </c:numRef>
          </c:xVal>
          <c:yVal>
            <c:numRef>
              <c:f>Data!$B$11:$B$13</c:f>
              <c:numCache>
                <c:formatCode>General</c:formatCode>
                <c:ptCount val="3"/>
                <c:pt idx="0">
                  <c:v>1460.08</c:v>
                </c:pt>
                <c:pt idx="1">
                  <c:v>1453.08</c:v>
                </c:pt>
                <c:pt idx="2">
                  <c:v>1453.08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Data!$B$24:$B$26</c15:f>
                <c15:dlblRangeCache>
                  <c:ptCount val="3"/>
                  <c:pt idx="0">
                    <c:v>ZFW</c:v>
                  </c:pt>
                  <c:pt idx="1">
                    <c:v>Landing</c:v>
                  </c:pt>
                  <c:pt idx="2">
                    <c:v>Takeoff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C2BD-704A-855B-33EC7CE5A4F9}"/>
            </c:ext>
          </c:extLst>
        </c:ser>
        <c:ser>
          <c:idx val="2"/>
          <c:order val="5"/>
          <c:tx>
            <c:v>Utility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Data!$B$29:$B$33</c:f>
              <c:numCache>
                <c:formatCode>0.0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35.6</c:v>
                </c:pt>
                <c:pt idx="3">
                  <c:v>40.5</c:v>
                </c:pt>
                <c:pt idx="4">
                  <c:v>40.5</c:v>
                </c:pt>
              </c:numCache>
            </c:numRef>
          </c:xVal>
          <c:yVal>
            <c:numRef>
              <c:f>Data!$C$29:$C$33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2000</c:v>
                </c:pt>
                <c:pt idx="3">
                  <c:v>2000</c:v>
                </c:pt>
                <c:pt idx="4">
                  <c:v>1500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C1-4166-A481-625274E13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516127"/>
        <c:axId val="1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2"/>
                <c:tx>
                  <c:v>Baggage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'C172'!$P$28:$P$28</c15:sqref>
                        </c15:formulaRef>
                      </c:ext>
                    </c:extLst>
                    <c:numCache>
                      <c:formatCode>0.0</c:formatCode>
                      <c:ptCount val="1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'C172'!$O$28:$O$28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C2BD-704A-855B-33EC7CE5A4F9}"/>
                  </c:ext>
                </c:extLst>
              </c15:ser>
            </c15:filteredScatterSeries>
            <c15:filteredScatterSeries>
              <c15:ser>
                <c:idx val="5"/>
                <c:order val="3"/>
                <c:tx>
                  <c:v>Fuel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'C152 WB'!#REF!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'C152 WB'!#REF!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2BD-704A-855B-33EC7CE5A4F9}"/>
                  </c:ext>
                </c:extLst>
              </c15:ser>
            </c15:filteredScatterSeries>
            <c15:filteredScatterSeries>
              <c15:ser>
                <c:idx val="7"/>
                <c:order val="4"/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'C172'!$O$36:$O$41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'C172'!$Q$36:$Q$41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2BD-704A-855B-33EC7CE5A4F9}"/>
                  </c:ext>
                </c:extLst>
              </c15:ser>
            </c15:filteredScatterSeries>
          </c:ext>
        </c:extLst>
      </c:scatterChart>
      <c:valAx>
        <c:axId val="1336516127"/>
        <c:scaling>
          <c:orientation val="minMax"/>
          <c:max val="47.8"/>
          <c:min val="3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C.G. Location (Inches Aft Datum)</a:t>
                </a:r>
              </a:p>
            </c:rich>
          </c:tx>
          <c:layout>
            <c:manualLayout>
              <c:xMode val="edge"/>
              <c:yMode val="edge"/>
              <c:x val="0.37186154042175179"/>
              <c:y val="0.9377294102271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At val="1000"/>
        <c:crossBetween val="midCat"/>
        <c:majorUnit val="1"/>
        <c:minorUnit val="0.1"/>
      </c:valAx>
      <c:valAx>
        <c:axId val="1"/>
        <c:scaling>
          <c:orientation val="minMax"/>
          <c:max val="246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Aircraft Weight (lbs)</a:t>
                </a:r>
              </a:p>
            </c:rich>
          </c:tx>
          <c:layout>
            <c:manualLayout>
              <c:xMode val="edge"/>
              <c:yMode val="edge"/>
              <c:x val="3.7174759559850556E-2"/>
              <c:y val="0.266610111014976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516127"/>
        <c:crossesAt val="30"/>
        <c:crossBetween val="midCat"/>
        <c:majorUnit val="100"/>
        <c:minorUnit val="20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portrait" horizontalDpi="-4" verticalDpi="-4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78674</xdr:colOff>
      <xdr:row>5</xdr:row>
      <xdr:rowOff>86589</xdr:rowOff>
    </xdr:from>
    <xdr:to>
      <xdr:col>7</xdr:col>
      <xdr:colOff>121226</xdr:colOff>
      <xdr:row>39</xdr:row>
      <xdr:rowOff>95250</xdr:rowOff>
    </xdr:to>
    <xdr:graphicFrame macro="">
      <xdr:nvGraphicFramePr>
        <xdr:cNvPr id="1116" name="Chart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872835</xdr:colOff>
      <xdr:row>12</xdr:row>
      <xdr:rowOff>71984</xdr:rowOff>
    </xdr:from>
    <xdr:ext cx="1052946" cy="263534"/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459180" y="2233293"/>
          <a:ext cx="1052946" cy="263534"/>
        </a:xfrm>
        <a:prstGeom prst="rect">
          <a:avLst/>
        </a:prstGeom>
        <a:solidFill>
          <a:schemeClr val="bg1">
            <a:alpha val="0"/>
          </a:schemeClr>
        </a:solidFill>
        <a:ln w="9525">
          <a:noFill/>
          <a:miter lim="800000"/>
          <a:headEnd/>
          <a:tailEnd/>
        </a:ln>
      </xdr:spPr>
      <xdr:txBody>
        <a:bodyPr wrap="square" lIns="27432" tIns="27432" rIns="27432" bIns="0" anchor="t" upright="1">
          <a:spAutoFit/>
        </a:bodyPr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>
                  <a:alpha val="64000"/>
                </a:srgbClr>
              </a:solidFill>
              <a:latin typeface="Arial" panose="020B0604020202020204" pitchFamily="34" charset="0"/>
              <a:cs typeface="Arial" panose="020B0604020202020204" pitchFamily="34" charset="0"/>
            </a:rPr>
            <a:t>CENTER OF</a:t>
          </a:r>
        </a:p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>
                  <a:alpha val="64000"/>
                </a:srgbClr>
              </a:solidFill>
              <a:latin typeface="Arial" panose="020B0604020202020204" pitchFamily="34" charset="0"/>
              <a:cs typeface="Arial" panose="020B0604020202020204" pitchFamily="34" charset="0"/>
            </a:rPr>
            <a:t> GRAVITY  LIMITS</a:t>
          </a:r>
        </a:p>
      </xdr:txBody>
    </xdr:sp>
    <xdr:clientData/>
  </xdr:oneCellAnchor>
  <xdr:twoCellAnchor>
    <xdr:from>
      <xdr:col>15</xdr:col>
      <xdr:colOff>61799</xdr:colOff>
      <xdr:row>2</xdr:row>
      <xdr:rowOff>59252</xdr:rowOff>
    </xdr:from>
    <xdr:to>
      <xdr:col>16</xdr:col>
      <xdr:colOff>1071339</xdr:colOff>
      <xdr:row>5</xdr:row>
      <xdr:rowOff>712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813417" y="440252"/>
          <a:ext cx="1771540" cy="606478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CA" sz="1100" b="1"/>
            <a:t>Step 1 </a:t>
          </a:r>
          <a:r>
            <a:rPr lang="en-CA" sz="1100"/>
            <a:t>- Pick Aircraft Ident</a:t>
          </a:r>
        </a:p>
      </xdr:txBody>
    </xdr:sp>
    <xdr:clientData/>
  </xdr:twoCellAnchor>
  <xdr:twoCellAnchor>
    <xdr:from>
      <xdr:col>15</xdr:col>
      <xdr:colOff>122786</xdr:colOff>
      <xdr:row>6</xdr:row>
      <xdr:rowOff>2474</xdr:rowOff>
    </xdr:from>
    <xdr:to>
      <xdr:col>16</xdr:col>
      <xdr:colOff>1149450</xdr:colOff>
      <xdr:row>8</xdr:row>
      <xdr:rowOff>156575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7874404" y="1207819"/>
          <a:ext cx="1788664" cy="472756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CA" sz="1100" b="1"/>
            <a:t>Step 2 </a:t>
          </a:r>
          <a:r>
            <a:rPr lang="en-CA" sz="1100"/>
            <a:t>- Enter</a:t>
          </a:r>
          <a:r>
            <a:rPr lang="en-CA" sz="1100" baseline="0"/>
            <a:t> Weight Data</a:t>
          </a:r>
          <a:endParaRPr lang="en-CA" sz="1100"/>
        </a:p>
      </xdr:txBody>
    </xdr:sp>
    <xdr:clientData/>
  </xdr:twoCellAnchor>
  <xdr:twoCellAnchor editAs="oneCell">
    <xdr:from>
      <xdr:col>2</xdr:col>
      <xdr:colOff>315478</xdr:colOff>
      <xdr:row>1</xdr:row>
      <xdr:rowOff>150515</xdr:rowOff>
    </xdr:from>
    <xdr:to>
      <xdr:col>6</xdr:col>
      <xdr:colOff>512006</xdr:colOff>
      <xdr:row>5</xdr:row>
      <xdr:rowOff>16823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05" y="315038"/>
          <a:ext cx="2931316" cy="741372"/>
        </a:xfrm>
        <a:prstGeom prst="rect">
          <a:avLst/>
        </a:prstGeom>
      </xdr:spPr>
    </xdr:pic>
    <xdr:clientData/>
  </xdr:twoCellAnchor>
  <xdr:twoCellAnchor>
    <xdr:from>
      <xdr:col>15</xdr:col>
      <xdr:colOff>132971</xdr:colOff>
      <xdr:row>24</xdr:row>
      <xdr:rowOff>95250</xdr:rowOff>
    </xdr:from>
    <xdr:to>
      <xdr:col>17</xdr:col>
      <xdr:colOff>38100</xdr:colOff>
      <xdr:row>28</xdr:row>
      <xdr:rowOff>1184</xdr:rowOff>
    </xdr:to>
    <xdr:sp macro="" textlink="">
      <xdr:nvSpPr>
        <xdr:cNvPr id="8" name="Arrow: Lef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8699121" y="4152900"/>
          <a:ext cx="1765679" cy="540934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CA" sz="1100" b="1"/>
            <a:t>Step 4 </a:t>
          </a:r>
          <a:r>
            <a:rPr lang="en-CA" sz="1100"/>
            <a:t>- Check</a:t>
          </a:r>
          <a:r>
            <a:rPr lang="en-CA" sz="1100" baseline="0"/>
            <a:t> for Errors</a:t>
          </a:r>
          <a:endParaRPr lang="en-CA" sz="1100"/>
        </a:p>
      </xdr:txBody>
    </xdr:sp>
    <xdr:clientData/>
  </xdr:twoCellAnchor>
  <xdr:twoCellAnchor>
    <xdr:from>
      <xdr:col>15</xdr:col>
      <xdr:colOff>108865</xdr:colOff>
      <xdr:row>48</xdr:row>
      <xdr:rowOff>116569</xdr:rowOff>
    </xdr:from>
    <xdr:to>
      <xdr:col>17</xdr:col>
      <xdr:colOff>50801</xdr:colOff>
      <xdr:row>51</xdr:row>
      <xdr:rowOff>104057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8675015" y="7152369"/>
          <a:ext cx="1802486" cy="406588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CA" sz="1100" b="1"/>
            <a:t>Step 5 </a:t>
          </a:r>
          <a:r>
            <a:rPr lang="en-CA" sz="1100"/>
            <a:t>- Print and</a:t>
          </a:r>
          <a:r>
            <a:rPr lang="en-CA" sz="1100" baseline="0"/>
            <a:t> Sign</a:t>
          </a:r>
          <a:endParaRPr lang="en-CA" sz="1100"/>
        </a:p>
      </xdr:txBody>
    </xdr:sp>
    <xdr:clientData/>
  </xdr:twoCellAnchor>
  <xdr:twoCellAnchor editAs="oneCell">
    <xdr:from>
      <xdr:col>1</xdr:col>
      <xdr:colOff>400051</xdr:colOff>
      <xdr:row>81</xdr:row>
      <xdr:rowOff>127000</xdr:rowOff>
    </xdr:from>
    <xdr:to>
      <xdr:col>16</xdr:col>
      <xdr:colOff>778391</xdr:colOff>
      <xdr:row>128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90902F-7C12-3DE3-96BE-4A92ACDAF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651" y="12185650"/>
          <a:ext cx="9623940" cy="7372350"/>
        </a:xfrm>
        <a:prstGeom prst="rect">
          <a:avLst/>
        </a:prstGeom>
      </xdr:spPr>
    </xdr:pic>
    <xdr:clientData/>
  </xdr:twoCellAnchor>
  <xdr:twoCellAnchor>
    <xdr:from>
      <xdr:col>15</xdr:col>
      <xdr:colOff>159154</xdr:colOff>
      <xdr:row>20</xdr:row>
      <xdr:rowOff>128319</xdr:rowOff>
    </xdr:from>
    <xdr:to>
      <xdr:col>17</xdr:col>
      <xdr:colOff>36468</xdr:colOff>
      <xdr:row>23</xdr:row>
      <xdr:rowOff>123670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4D894B47-787A-493D-ADDD-5B857F7C4C9F}"/>
            </a:ext>
          </a:extLst>
        </xdr:cNvPr>
        <xdr:cNvSpPr/>
      </xdr:nvSpPr>
      <xdr:spPr bwMode="auto">
        <a:xfrm>
          <a:off x="8725304" y="3550969"/>
          <a:ext cx="1737864" cy="471601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CA" sz="1100" b="1"/>
            <a:t>Step 3 </a:t>
          </a:r>
          <a:r>
            <a:rPr lang="en-CA" sz="1100"/>
            <a:t>- Enter</a:t>
          </a:r>
          <a:r>
            <a:rPr lang="en-CA" sz="1100" baseline="0"/>
            <a:t> Oil Level Data</a:t>
          </a:r>
          <a:endParaRPr lang="en-CA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0.3397</cdr:x>
      <cdr:y>0.61141</cdr:y>
    </cdr:from>
    <cdr:to>
      <cdr:x>0.50205</cdr:x>
      <cdr:y>0.67016</cdr:y>
    </cdr:to>
    <cdr:sp macro="" textlink="">
      <cdr:nvSpPr>
        <cdr:cNvPr id="2" name="Text Box 82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52040000}"/>
            </a:ext>
          </a:extLst>
        </cdr:cNvPr>
        <cdr:cNvSpPr txBox="1"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1320485" y="2742425"/>
          <a:ext cx="631071" cy="2635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alpha val="0"/>
          </a:scheme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>
                  <a:alpha val="56000"/>
                </a:srgbClr>
              </a:solidFill>
              <a:latin typeface="Arial" panose="020B0604020202020204" pitchFamily="34" charset="0"/>
              <a:cs typeface="Arial" panose="020B0604020202020204" pitchFamily="34" charset="0"/>
            </a:rPr>
            <a:t>UTILITY </a:t>
          </a:r>
        </a:p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>
                  <a:alpha val="56000"/>
                </a:srgbClr>
              </a:solidFill>
              <a:latin typeface="Arial" panose="020B0604020202020204" pitchFamily="34" charset="0"/>
              <a:cs typeface="Arial" panose="020B0604020202020204" pitchFamily="34" charset="0"/>
            </a:rPr>
            <a:t>CATEGORY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91"/>
  <sheetViews>
    <sheetView tabSelected="1" showOutlineSymbols="0" zoomScaleNormal="100" workbookViewId="0">
      <selection activeCell="J4" sqref="J4:N4"/>
    </sheetView>
  </sheetViews>
  <sheetFormatPr defaultColWidth="9.15234375" defaultRowHeight="12.75" customHeight="1" x14ac:dyDescent="0.25"/>
  <cols>
    <col min="1" max="1" width="1.4609375" style="1" customWidth="1"/>
    <col min="2" max="2" width="6.15234375" style="1" customWidth="1"/>
    <col min="3" max="3" width="10.53515625" style="1" customWidth="1"/>
    <col min="4" max="4" width="4.84375" style="1" customWidth="1"/>
    <col min="5" max="5" width="19" style="1" customWidth="1"/>
    <col min="6" max="6" width="6.4609375" style="1" customWidth="1"/>
    <col min="7" max="7" width="10.53515625" style="1" customWidth="1"/>
    <col min="8" max="8" width="2.4609375" style="1" customWidth="1"/>
    <col min="9" max="9" width="23.15234375" style="1" customWidth="1"/>
    <col min="10" max="10" width="2.15234375" style="1" customWidth="1"/>
    <col min="11" max="11" width="5.84375" style="1" customWidth="1"/>
    <col min="12" max="12" width="6.15234375" style="1" customWidth="1"/>
    <col min="13" max="13" width="5.84375" style="1" customWidth="1"/>
    <col min="14" max="14" width="14.53515625" style="1" customWidth="1"/>
    <col min="15" max="15" width="3.4609375" style="1" customWidth="1"/>
    <col min="16" max="16" width="11.15234375" style="1" customWidth="1"/>
    <col min="17" max="17" width="15.4609375" style="1" customWidth="1"/>
    <col min="18" max="18" width="2" style="1" customWidth="1"/>
    <col min="19" max="19" width="0.53515625" style="1" customWidth="1"/>
    <col min="20" max="20" width="10.84375" style="1" customWidth="1"/>
    <col min="21" max="21" width="2.84375" style="1" customWidth="1"/>
    <col min="22" max="23" width="9.15234375" style="1"/>
    <col min="24" max="24" width="26.15234375" style="1" customWidth="1"/>
    <col min="25" max="16384" width="9.15234375" style="1"/>
  </cols>
  <sheetData>
    <row r="1" spans="1:26" ht="12.75" customHeight="1" thickBot="1" x14ac:dyDescent="0.3">
      <c r="A1" s="9"/>
      <c r="B1" s="69"/>
      <c r="C1" s="86"/>
      <c r="D1" s="86"/>
      <c r="E1" s="86"/>
      <c r="F1" s="86"/>
      <c r="G1" s="86"/>
      <c r="H1" s="38"/>
      <c r="I1" s="39" t="s">
        <v>86</v>
      </c>
      <c r="J1" s="122">
        <f ca="1">NOW() + SUM(J8:K17)*0</f>
        <v>46020.953009837962</v>
      </c>
      <c r="K1" s="122"/>
      <c r="L1" s="122"/>
      <c r="M1" s="122"/>
      <c r="N1" s="39" t="s">
        <v>173</v>
      </c>
    </row>
    <row r="2" spans="1:26" ht="17.5" customHeight="1" x14ac:dyDescent="0.35">
      <c r="A2" s="9"/>
      <c r="B2" s="4"/>
      <c r="C2" s="9"/>
      <c r="D2" s="9"/>
      <c r="E2" s="9"/>
      <c r="F2" s="9"/>
      <c r="G2" s="9"/>
      <c r="H2" s="9"/>
      <c r="I2" s="143" t="s">
        <v>14</v>
      </c>
      <c r="J2" s="143"/>
      <c r="K2" s="143"/>
      <c r="L2" s="143"/>
      <c r="M2" s="143"/>
      <c r="N2" s="143"/>
      <c r="O2" s="29"/>
      <c r="P2" s="28"/>
      <c r="Q2" s="28"/>
      <c r="R2" s="28"/>
      <c r="S2" s="29"/>
      <c r="T2" s="2"/>
    </row>
    <row r="3" spans="1:26" ht="15.75" customHeight="1" thickBot="1" x14ac:dyDescent="0.4">
      <c r="A3" s="9"/>
      <c r="B3" s="5"/>
      <c r="C3" s="9"/>
      <c r="D3" s="9"/>
      <c r="E3" s="9"/>
      <c r="F3" s="9"/>
      <c r="G3" s="9"/>
      <c r="H3" s="9"/>
      <c r="I3" s="144"/>
      <c r="J3" s="144"/>
      <c r="K3" s="144"/>
      <c r="L3" s="144"/>
      <c r="M3" s="144"/>
      <c r="N3" s="144"/>
      <c r="O3" s="31"/>
      <c r="P3" s="30"/>
      <c r="Q3" s="30"/>
      <c r="R3" s="30"/>
      <c r="S3" s="31"/>
      <c r="T3" s="2"/>
    </row>
    <row r="4" spans="1:26" ht="24" customHeight="1" thickBot="1" x14ac:dyDescent="0.4">
      <c r="A4" s="9"/>
      <c r="B4" s="5"/>
      <c r="C4" s="9"/>
      <c r="D4" s="9"/>
      <c r="E4" s="9"/>
      <c r="F4" s="9"/>
      <c r="G4" s="9"/>
      <c r="H4" s="9"/>
      <c r="I4" s="74" t="s">
        <v>73</v>
      </c>
      <c r="J4" s="125" t="s">
        <v>46</v>
      </c>
      <c r="K4" s="126"/>
      <c r="L4" s="126"/>
      <c r="M4" s="126"/>
      <c r="N4" s="127"/>
      <c r="O4" s="31"/>
      <c r="P4" s="9"/>
      <c r="Q4" s="9"/>
      <c r="R4" s="9"/>
      <c r="S4" s="31"/>
      <c r="T4" s="2"/>
    </row>
    <row r="5" spans="1:26" ht="12.75" customHeight="1" x14ac:dyDescent="0.3">
      <c r="A5" s="9"/>
      <c r="B5" s="5"/>
      <c r="C5" s="9"/>
      <c r="D5" s="9"/>
      <c r="E5" s="9"/>
      <c r="F5" s="9"/>
      <c r="G5" s="9"/>
      <c r="H5" s="9"/>
      <c r="I5" s="10"/>
      <c r="J5" s="10"/>
      <c r="K5" s="10"/>
      <c r="L5" s="9"/>
      <c r="M5" s="10"/>
      <c r="N5" s="11"/>
      <c r="O5" s="31"/>
      <c r="P5" s="9"/>
      <c r="Q5" s="9"/>
      <c r="R5" s="9"/>
      <c r="S5" s="31"/>
    </row>
    <row r="6" spans="1:26" ht="12.75" customHeight="1" x14ac:dyDescent="0.25">
      <c r="A6" s="9"/>
      <c r="B6" s="5"/>
      <c r="C6" s="9"/>
      <c r="D6" s="9"/>
      <c r="E6" s="9"/>
      <c r="F6" s="9"/>
      <c r="G6" s="9"/>
      <c r="H6" s="9"/>
      <c r="I6" s="12"/>
      <c r="J6" s="123" t="s">
        <v>0</v>
      </c>
      <c r="K6" s="124"/>
      <c r="L6" s="13" t="s">
        <v>1</v>
      </c>
      <c r="M6" s="13" t="s">
        <v>2</v>
      </c>
      <c r="N6" s="13" t="s">
        <v>3</v>
      </c>
      <c r="O6" s="31"/>
      <c r="P6" s="9"/>
      <c r="Q6" s="9"/>
      <c r="R6" s="9"/>
      <c r="S6" s="31"/>
    </row>
    <row r="7" spans="1:26" ht="12.75" customHeight="1" x14ac:dyDescent="0.25">
      <c r="A7" s="9"/>
      <c r="B7" s="5"/>
      <c r="C7" s="9"/>
      <c r="D7" s="9"/>
      <c r="E7" s="9"/>
      <c r="F7" s="9"/>
      <c r="G7" s="9"/>
      <c r="H7" s="9"/>
      <c r="I7" s="70" t="s">
        <v>4</v>
      </c>
      <c r="J7" s="162"/>
      <c r="K7" s="163"/>
      <c r="L7" s="75">
        <f>VLOOKUP(J4,Data!F3:J12,2,FALSE)</f>
        <v>1460.08</v>
      </c>
      <c r="M7" s="76">
        <f>VLOOKUP(J4,Data!F3:J12,4,FALSE)</f>
        <v>39.69</v>
      </c>
      <c r="N7" s="101">
        <f>VLOOKUP(J4,Data!F3:AF12,27,FALSE)</f>
        <v>57945.34</v>
      </c>
      <c r="O7" s="31"/>
      <c r="P7" s="9"/>
      <c r="Q7" s="9"/>
      <c r="R7" s="9"/>
      <c r="S7" s="31"/>
      <c r="Y7" s="52"/>
      <c r="Z7" s="52"/>
    </row>
    <row r="8" spans="1:26" ht="12.75" customHeight="1" x14ac:dyDescent="0.35">
      <c r="A8" s="9"/>
      <c r="B8" s="5"/>
      <c r="C8" s="9"/>
      <c r="D8" s="9"/>
      <c r="E8" s="9"/>
      <c r="F8" s="9"/>
      <c r="G8" s="9"/>
      <c r="H8" s="9"/>
      <c r="I8" s="71" t="s">
        <v>5</v>
      </c>
      <c r="J8" s="164"/>
      <c r="K8" s="165"/>
      <c r="L8" s="80">
        <f>J8</f>
        <v>0</v>
      </c>
      <c r="M8" s="81">
        <v>37</v>
      </c>
      <c r="N8" s="77">
        <f t="shared" ref="N8:N15" si="0">L8*M8</f>
        <v>0</v>
      </c>
      <c r="O8" s="31"/>
      <c r="P8" s="9"/>
      <c r="Q8" s="9"/>
      <c r="R8" s="9"/>
      <c r="S8" s="31"/>
      <c r="T8"/>
      <c r="Y8" s="53"/>
      <c r="Z8" s="54"/>
    </row>
    <row r="9" spans="1:26" ht="12.75" customHeight="1" x14ac:dyDescent="0.35">
      <c r="A9" s="9"/>
      <c r="B9" s="5"/>
      <c r="C9" s="9"/>
      <c r="D9" s="9"/>
      <c r="E9" s="9"/>
      <c r="F9" s="9"/>
      <c r="G9" s="9"/>
      <c r="H9" s="9"/>
      <c r="I9" s="71" t="s">
        <v>6</v>
      </c>
      <c r="J9" s="145"/>
      <c r="K9" s="146"/>
      <c r="L9" s="80">
        <f>J9</f>
        <v>0</v>
      </c>
      <c r="M9" s="81">
        <v>37</v>
      </c>
      <c r="N9" s="77">
        <f t="shared" si="0"/>
        <v>0</v>
      </c>
      <c r="O9" s="31"/>
      <c r="P9" s="9"/>
      <c r="Q9" s="9"/>
      <c r="R9" s="9"/>
      <c r="S9" s="31"/>
      <c r="T9"/>
      <c r="Y9" s="53"/>
      <c r="Z9" s="54"/>
    </row>
    <row r="10" spans="1:26" ht="12.75" customHeight="1" x14ac:dyDescent="0.35">
      <c r="A10" s="9"/>
      <c r="B10" s="5"/>
      <c r="C10" s="9"/>
      <c r="D10" s="9"/>
      <c r="E10" s="9"/>
      <c r="F10" s="9"/>
      <c r="G10" s="9"/>
      <c r="H10" s="9"/>
      <c r="I10" s="71" t="s">
        <v>76</v>
      </c>
      <c r="J10" s="145"/>
      <c r="K10" s="146"/>
      <c r="L10" s="80">
        <f>J10</f>
        <v>0</v>
      </c>
      <c r="M10" s="81">
        <v>73</v>
      </c>
      <c r="N10" s="77">
        <f>L10*M10</f>
        <v>0</v>
      </c>
      <c r="O10" s="31"/>
      <c r="P10" s="9"/>
      <c r="Q10" s="9"/>
      <c r="R10" s="9"/>
      <c r="S10" s="31"/>
      <c r="T10"/>
      <c r="Y10" s="53"/>
      <c r="Z10" s="54"/>
    </row>
    <row r="11" spans="1:26" ht="12.75" customHeight="1" x14ac:dyDescent="0.35">
      <c r="A11" s="9"/>
      <c r="B11" s="5"/>
      <c r="C11" s="9"/>
      <c r="D11" s="9"/>
      <c r="E11" s="9"/>
      <c r="F11" s="9"/>
      <c r="G11" s="9"/>
      <c r="H11" s="9"/>
      <c r="I11" s="71" t="s">
        <v>28</v>
      </c>
      <c r="J11" s="145"/>
      <c r="K11" s="146"/>
      <c r="L11" s="80">
        <f>J11</f>
        <v>0</v>
      </c>
      <c r="M11" s="81">
        <v>95</v>
      </c>
      <c r="N11" s="77">
        <f t="shared" si="0"/>
        <v>0</v>
      </c>
      <c r="O11" s="31"/>
      <c r="P11" s="9"/>
      <c r="Q11" s="9"/>
      <c r="R11" s="9"/>
      <c r="S11" s="31"/>
      <c r="T11"/>
      <c r="Y11" s="8"/>
      <c r="Z11" s="54"/>
    </row>
    <row r="12" spans="1:26" ht="12.75" customHeight="1" x14ac:dyDescent="0.35">
      <c r="A12" s="9"/>
      <c r="B12" s="5"/>
      <c r="C12" s="9"/>
      <c r="D12" s="9"/>
      <c r="E12" s="9"/>
      <c r="F12" s="9"/>
      <c r="G12" s="9"/>
      <c r="H12" s="9"/>
      <c r="I12" s="71" t="s">
        <v>77</v>
      </c>
      <c r="J12" s="145"/>
      <c r="K12" s="146"/>
      <c r="L12" s="80">
        <f>J12</f>
        <v>0</v>
      </c>
      <c r="M12" s="81">
        <v>123</v>
      </c>
      <c r="N12" s="77">
        <f>L12*M12</f>
        <v>0</v>
      </c>
      <c r="O12" s="31"/>
      <c r="P12" s="32"/>
      <c r="Q12" s="33"/>
      <c r="R12" s="32"/>
      <c r="S12" s="31"/>
      <c r="T12"/>
      <c r="Y12" s="8"/>
      <c r="Z12" s="54"/>
    </row>
    <row r="13" spans="1:26" ht="12.75" customHeight="1" x14ac:dyDescent="0.35">
      <c r="A13" s="9"/>
      <c r="B13" s="5"/>
      <c r="C13" s="9"/>
      <c r="D13" s="9"/>
      <c r="E13" s="9"/>
      <c r="F13" s="9"/>
      <c r="G13" s="9"/>
      <c r="H13" s="9"/>
      <c r="I13" s="72" t="s">
        <v>11</v>
      </c>
      <c r="J13" s="166"/>
      <c r="K13" s="167"/>
      <c r="L13" s="82">
        <f>SUM(L7:L12)</f>
        <v>1460.08</v>
      </c>
      <c r="M13" s="82">
        <f>N13/L13</f>
        <v>39.686414443044214</v>
      </c>
      <c r="N13" s="78">
        <f>SUM(N7:N12)</f>
        <v>57945.34</v>
      </c>
      <c r="O13" s="31"/>
      <c r="P13" s="32"/>
      <c r="Q13" s="33"/>
      <c r="R13" s="32"/>
      <c r="S13" s="31"/>
      <c r="T13"/>
    </row>
    <row r="14" spans="1:26" ht="12.75" customHeight="1" x14ac:dyDescent="0.35">
      <c r="A14" s="9"/>
      <c r="B14" s="5"/>
      <c r="C14" s="9"/>
      <c r="D14" s="9"/>
      <c r="E14" s="9"/>
      <c r="F14" s="9"/>
      <c r="G14" s="9"/>
      <c r="H14" s="9"/>
      <c r="I14" s="71" t="s">
        <v>108</v>
      </c>
      <c r="J14" s="145"/>
      <c r="K14" s="146"/>
      <c r="L14" s="80">
        <f>J14*6</f>
        <v>0</v>
      </c>
      <c r="M14" s="81">
        <f>VLOOKUP(J4,Data!F3:J12,5,FALSE)</f>
        <v>48</v>
      </c>
      <c r="N14" s="77">
        <f t="shared" si="0"/>
        <v>0</v>
      </c>
      <c r="O14" s="31"/>
      <c r="P14" s="32"/>
      <c r="Q14" s="33"/>
      <c r="R14" s="32"/>
      <c r="S14" s="31"/>
      <c r="T14"/>
    </row>
    <row r="15" spans="1:26" ht="12.75" customHeight="1" x14ac:dyDescent="0.25">
      <c r="A15" s="9"/>
      <c r="B15" s="5"/>
      <c r="C15" s="9"/>
      <c r="D15" s="9"/>
      <c r="E15" s="9"/>
      <c r="F15" s="9"/>
      <c r="G15" s="9"/>
      <c r="H15" s="9"/>
      <c r="I15" s="71" t="s">
        <v>8</v>
      </c>
      <c r="J15" s="168" t="s">
        <v>9</v>
      </c>
      <c r="K15" s="169"/>
      <c r="L15" s="80">
        <v>-7</v>
      </c>
      <c r="M15" s="81">
        <f>VLOOKUP(J4,Data!F3:J12,5,FALSE)</f>
        <v>48</v>
      </c>
      <c r="N15" s="77">
        <f t="shared" si="0"/>
        <v>-336</v>
      </c>
      <c r="O15" s="31"/>
      <c r="P15" s="32"/>
      <c r="Q15" s="33"/>
      <c r="R15" s="32"/>
      <c r="S15" s="31"/>
    </row>
    <row r="16" spans="1:26" ht="12.75" customHeight="1" x14ac:dyDescent="0.25">
      <c r="A16" s="9"/>
      <c r="B16" s="5"/>
      <c r="C16" s="9"/>
      <c r="D16" s="9"/>
      <c r="E16" s="9"/>
      <c r="F16" s="9"/>
      <c r="G16" s="9"/>
      <c r="H16" s="9"/>
      <c r="I16" s="72" t="str">
        <f>"Take off Weight (Max "&amp; Data!B16&amp;" lbs)"</f>
        <v>Take off Weight (Max 2300 lbs)</v>
      </c>
      <c r="J16" s="166"/>
      <c r="K16" s="167"/>
      <c r="L16" s="82">
        <f>SUM(L13:L15)</f>
        <v>1453.08</v>
      </c>
      <c r="M16" s="82">
        <f>N16/L16</f>
        <v>39.64636496269992</v>
      </c>
      <c r="N16" s="78">
        <f>SUM(N13:N15)</f>
        <v>57609.34</v>
      </c>
      <c r="O16" s="31"/>
      <c r="P16" s="32"/>
      <c r="Q16" s="33"/>
      <c r="R16" s="32"/>
      <c r="S16" s="31"/>
    </row>
    <row r="17" spans="1:19" ht="12.75" customHeight="1" x14ac:dyDescent="0.25">
      <c r="A17" s="9"/>
      <c r="B17" s="5"/>
      <c r="C17" s="9"/>
      <c r="D17" s="9"/>
      <c r="E17" s="9"/>
      <c r="F17" s="9"/>
      <c r="G17" s="9"/>
      <c r="H17" s="9"/>
      <c r="I17" s="71" t="s">
        <v>109</v>
      </c>
      <c r="J17" s="145"/>
      <c r="K17" s="146"/>
      <c r="L17" s="81">
        <f>-J17*6</f>
        <v>0</v>
      </c>
      <c r="M17" s="81">
        <f>VLOOKUP(J4,Data!F3:J12,5,FALSE)</f>
        <v>48</v>
      </c>
      <c r="N17" s="77">
        <f>M17*L17</f>
        <v>0</v>
      </c>
      <c r="O17" s="31"/>
      <c r="P17" s="32"/>
      <c r="Q17" s="33"/>
      <c r="R17" s="32"/>
      <c r="S17" s="31"/>
    </row>
    <row r="18" spans="1:19" ht="12.75" customHeight="1" x14ac:dyDescent="0.25">
      <c r="A18" s="9"/>
      <c r="B18" s="5"/>
      <c r="C18" s="9"/>
      <c r="D18" s="9"/>
      <c r="E18" s="9"/>
      <c r="F18" s="9"/>
      <c r="G18" s="9"/>
      <c r="H18" s="9"/>
      <c r="I18" s="73" t="s">
        <v>12</v>
      </c>
      <c r="J18" s="135"/>
      <c r="K18" s="136"/>
      <c r="L18" s="83">
        <f>SUM(L16:L17)</f>
        <v>1453.08</v>
      </c>
      <c r="M18" s="83">
        <f>N18/L18</f>
        <v>39.64636496269992</v>
      </c>
      <c r="N18" s="79">
        <f>SUM(N16:N17)</f>
        <v>57609.34</v>
      </c>
      <c r="O18" s="31"/>
      <c r="P18" s="32"/>
      <c r="Q18" s="33"/>
      <c r="R18" s="32"/>
      <c r="S18" s="31"/>
    </row>
    <row r="19" spans="1:19" ht="12.75" customHeight="1" x14ac:dyDescent="0.25">
      <c r="A19" s="9"/>
      <c r="B19" s="5"/>
      <c r="C19" s="9"/>
      <c r="D19" s="9"/>
      <c r="E19" s="9"/>
      <c r="F19" s="9"/>
      <c r="G19" s="9"/>
      <c r="H19" s="9"/>
      <c r="I19" s="14" t="str">
        <f>IF(L16&gt;Data!B16, "Overweight by:", "Underweight by:")</f>
        <v>Underweight by:</v>
      </c>
      <c r="J19" s="84"/>
      <c r="K19" s="15">
        <f>Data!B16-L16</f>
        <v>846.92000000000007</v>
      </c>
      <c r="L19" s="9"/>
      <c r="M19" s="9"/>
      <c r="N19" s="50"/>
      <c r="O19" s="31"/>
      <c r="P19" s="32"/>
      <c r="Q19" s="33"/>
      <c r="R19" s="32"/>
      <c r="S19" s="31"/>
    </row>
    <row r="20" spans="1:19" ht="12.75" customHeight="1" x14ac:dyDescent="0.3">
      <c r="A20" s="9"/>
      <c r="B20" s="5"/>
      <c r="C20" s="9"/>
      <c r="D20" s="9"/>
      <c r="E20" s="9"/>
      <c r="F20" s="9"/>
      <c r="G20" s="9"/>
      <c r="H20" s="9"/>
      <c r="I20" s="158" t="s">
        <v>125</v>
      </c>
      <c r="J20" s="159"/>
      <c r="K20" s="159"/>
      <c r="L20" s="159"/>
      <c r="M20" s="159"/>
      <c r="N20" s="160"/>
      <c r="O20" s="31"/>
      <c r="P20" s="32"/>
      <c r="Q20" s="33"/>
      <c r="R20" s="32"/>
      <c r="S20" s="31"/>
    </row>
    <row r="21" spans="1:19" ht="12.75" customHeight="1" x14ac:dyDescent="0.3">
      <c r="A21" s="9"/>
      <c r="B21" s="5"/>
      <c r="C21" s="9"/>
      <c r="D21" s="9"/>
      <c r="E21" s="9"/>
      <c r="F21" s="9"/>
      <c r="G21" s="9"/>
      <c r="H21" s="9"/>
      <c r="I21" s="103" t="s">
        <v>126</v>
      </c>
      <c r="J21" s="105" t="str">
        <f>VLOOKUP(J4,Data!F3:AH12,28,FALSE) &amp; " quarts"</f>
        <v>6 quarts</v>
      </c>
      <c r="K21" s="105"/>
      <c r="L21" s="105"/>
      <c r="M21" s="105"/>
      <c r="N21" s="105"/>
      <c r="O21" s="31"/>
      <c r="P21" s="32"/>
      <c r="Q21" s="33"/>
      <c r="R21" s="32"/>
      <c r="S21" s="31"/>
    </row>
    <row r="22" spans="1:19" ht="12.75" customHeight="1" x14ac:dyDescent="0.3">
      <c r="A22" s="9"/>
      <c r="B22" s="5"/>
      <c r="C22" s="9"/>
      <c r="D22" s="9"/>
      <c r="E22" s="9"/>
      <c r="F22" s="9"/>
      <c r="G22" s="9"/>
      <c r="H22" s="9"/>
      <c r="I22" s="103" t="s">
        <v>127</v>
      </c>
      <c r="J22" s="105" t="str">
        <f>VLOOKUP(J4,Data!F3:AH12,29,FALSE) &amp; " quarts"</f>
        <v>8 quarts</v>
      </c>
      <c r="K22" s="105"/>
      <c r="L22" s="105"/>
      <c r="M22" s="105"/>
      <c r="N22" s="105"/>
      <c r="O22" s="31"/>
      <c r="P22" s="32"/>
      <c r="Q22" s="33"/>
      <c r="R22" s="32"/>
      <c r="S22" s="31"/>
    </row>
    <row r="23" spans="1:19" ht="12.75" customHeight="1" x14ac:dyDescent="0.3">
      <c r="A23" s="9"/>
      <c r="B23" s="5"/>
      <c r="C23" s="9"/>
      <c r="D23" s="9"/>
      <c r="E23" s="9"/>
      <c r="F23" s="9"/>
      <c r="G23" s="9"/>
      <c r="H23" s="9"/>
      <c r="I23" s="102" t="s">
        <v>157</v>
      </c>
      <c r="J23" s="119"/>
      <c r="K23" s="120"/>
      <c r="L23" s="120"/>
      <c r="M23" s="120"/>
      <c r="N23" s="121"/>
      <c r="O23" s="31"/>
      <c r="P23" s="32"/>
      <c r="Q23" s="33"/>
      <c r="R23" s="32"/>
      <c r="S23" s="31"/>
    </row>
    <row r="24" spans="1:19" ht="12.75" customHeight="1" x14ac:dyDescent="0.3">
      <c r="A24" s="9"/>
      <c r="B24" s="5"/>
      <c r="C24" s="9"/>
      <c r="D24" s="9"/>
      <c r="E24" s="9"/>
      <c r="F24" s="9"/>
      <c r="G24" s="9"/>
      <c r="H24" s="9"/>
      <c r="I24" s="132" t="s">
        <v>27</v>
      </c>
      <c r="J24" s="133"/>
      <c r="K24" s="133"/>
      <c r="L24" s="133"/>
      <c r="M24" s="133"/>
      <c r="N24" s="134"/>
      <c r="O24" s="31"/>
      <c r="P24" s="34"/>
      <c r="Q24" s="34"/>
      <c r="R24" s="32"/>
      <c r="S24" s="31"/>
    </row>
    <row r="25" spans="1:19" ht="12.75" customHeight="1" x14ac:dyDescent="0.25">
      <c r="A25" s="9"/>
      <c r="B25" s="5"/>
      <c r="C25" s="9"/>
      <c r="D25" s="9"/>
      <c r="E25" s="9"/>
      <c r="F25" s="9"/>
      <c r="G25" s="9"/>
      <c r="H25" s="9"/>
      <c r="I25" s="16" t="str">
        <f>IF(L18&gt;Data!B16,"Warning: Maximum Gross Weight Exceeded for This Aircraft","")</f>
        <v/>
      </c>
      <c r="J25" s="44"/>
      <c r="K25" s="9"/>
      <c r="L25" s="9"/>
      <c r="M25" s="9"/>
      <c r="N25" s="17"/>
      <c r="O25" s="31"/>
      <c r="P25" s="34"/>
      <c r="Q25" s="34"/>
      <c r="R25" s="32"/>
      <c r="S25" s="31"/>
    </row>
    <row r="26" spans="1:19" ht="12.75" customHeight="1" x14ac:dyDescent="0.3">
      <c r="A26" s="9"/>
      <c r="B26" s="5"/>
      <c r="C26" s="9"/>
      <c r="D26" s="9"/>
      <c r="E26" s="9"/>
      <c r="F26" s="9"/>
      <c r="G26" s="9"/>
      <c r="H26" s="9"/>
      <c r="I26" s="16" t="str">
        <f>IF(OR((J11)&gt;Data!B18, (J12)&gt;Data!B19, (J11+J12)&gt;Data!B18),"Warning: Too Much Baggage for This Aircraft!","")</f>
        <v/>
      </c>
      <c r="J26" s="104" t="str">
        <f>IF(ISBLANK(J23),"Warning: Missing Measured Oil Level","")</f>
        <v>Warning: Missing Measured Oil Level</v>
      </c>
      <c r="K26" s="9"/>
      <c r="L26" s="9"/>
      <c r="M26" s="18"/>
      <c r="N26" s="19"/>
      <c r="O26" s="31"/>
      <c r="P26" s="34"/>
      <c r="Q26" s="34"/>
      <c r="R26" s="32"/>
      <c r="S26" s="31"/>
    </row>
    <row r="27" spans="1:19" ht="12.75" customHeight="1" x14ac:dyDescent="0.25">
      <c r="A27" s="9"/>
      <c r="B27" s="5"/>
      <c r="C27" s="9"/>
      <c r="D27" s="9"/>
      <c r="E27" s="9"/>
      <c r="F27" s="9"/>
      <c r="G27" s="9"/>
      <c r="H27" s="9"/>
      <c r="I27" s="16" t="str">
        <f>IF(MAX(M18)&gt;Data!B7,"Warning: C.G. Too Far After for This Aircraft!!!","")&amp;IF(OR(Data!C36, Data!C37, Data!C38),"Warning: C.G. Too Far Forward for This Aircraft!!!1","")&amp;IF(OR(L13&gt;Data!B16, L16&gt;Data!B16, L18&gt;Data!B16),"Warning: Weight Limit Exceeded for This Aircraft!!!","")</f>
        <v/>
      </c>
      <c r="J27" s="44"/>
      <c r="K27" s="9"/>
      <c r="L27" s="9"/>
      <c r="M27" s="18"/>
      <c r="N27" s="19"/>
      <c r="O27" s="31"/>
      <c r="P27" s="34"/>
      <c r="Q27" s="34"/>
      <c r="R27" s="32"/>
      <c r="S27" s="31"/>
    </row>
    <row r="28" spans="1:19" ht="12.75" customHeight="1" x14ac:dyDescent="0.25">
      <c r="A28" s="9"/>
      <c r="B28" s="5"/>
      <c r="C28" s="9"/>
      <c r="D28" s="9"/>
      <c r="E28" s="9"/>
      <c r="F28" s="9"/>
      <c r="G28" s="9"/>
      <c r="H28" s="9"/>
      <c r="I28" s="20" t="str">
        <f>IF(J14&gt;Data!B20,"Error: Too Much Fuel for This Aircraft","")&amp;IF(J14&lt;Data!B21,"Warning: Low Fuel","")</f>
        <v/>
      </c>
      <c r="J28" s="45"/>
      <c r="K28" s="21"/>
      <c r="L28" s="22"/>
      <c r="M28" s="22"/>
      <c r="N28" s="23"/>
      <c r="O28" s="31"/>
      <c r="P28" s="34"/>
      <c r="Q28" s="34"/>
      <c r="R28" s="32"/>
      <c r="S28" s="31"/>
    </row>
    <row r="29" spans="1:19" ht="12.75" customHeight="1" x14ac:dyDescent="0.25">
      <c r="A29" s="9"/>
      <c r="B29" s="5"/>
      <c r="C29" s="9"/>
      <c r="D29" s="9"/>
      <c r="E29" s="9"/>
      <c r="F29" s="9"/>
      <c r="G29" s="9"/>
      <c r="H29" s="9"/>
      <c r="I29" s="172" t="s">
        <v>10</v>
      </c>
      <c r="J29" s="172"/>
      <c r="K29" s="172"/>
      <c r="L29" s="172"/>
      <c r="M29" s="172"/>
      <c r="N29" s="172"/>
      <c r="O29" s="31"/>
      <c r="P29" s="9"/>
      <c r="Q29" s="9"/>
      <c r="R29" s="9"/>
      <c r="S29" s="31"/>
    </row>
    <row r="30" spans="1:19" ht="12.75" customHeight="1" x14ac:dyDescent="0.25">
      <c r="A30" s="9"/>
      <c r="B30" s="5"/>
      <c r="C30" s="9"/>
      <c r="D30" s="9"/>
      <c r="E30" s="9"/>
      <c r="F30" s="9"/>
      <c r="G30" s="9"/>
      <c r="H30" s="9"/>
      <c r="I30" s="173"/>
      <c r="J30" s="173"/>
      <c r="K30" s="173"/>
      <c r="L30" s="173"/>
      <c r="M30" s="173"/>
      <c r="N30" s="173"/>
      <c r="O30" s="31"/>
      <c r="P30" s="9"/>
      <c r="Q30" s="9"/>
      <c r="R30" s="9"/>
      <c r="S30" s="31"/>
    </row>
    <row r="31" spans="1:19" ht="12.75" customHeight="1" x14ac:dyDescent="0.25">
      <c r="A31" s="9"/>
      <c r="B31" s="5"/>
      <c r="C31" s="9"/>
      <c r="D31" s="9"/>
      <c r="E31" s="9"/>
      <c r="F31" s="9"/>
      <c r="G31" s="9"/>
      <c r="H31" s="9"/>
      <c r="I31" s="137" t="s">
        <v>26</v>
      </c>
      <c r="J31" s="138"/>
      <c r="K31" s="138"/>
      <c r="L31" s="138"/>
      <c r="M31" s="138"/>
      <c r="N31" s="139"/>
      <c r="O31" s="31"/>
      <c r="P31" s="9"/>
      <c r="Q31" s="9"/>
      <c r="R31" s="9"/>
      <c r="S31" s="31"/>
    </row>
    <row r="32" spans="1:19" ht="12.75" customHeight="1" x14ac:dyDescent="0.25">
      <c r="A32" s="9"/>
      <c r="B32" s="5"/>
      <c r="C32" s="9"/>
      <c r="D32" s="9"/>
      <c r="E32" s="9"/>
      <c r="F32" s="9"/>
      <c r="G32" s="9"/>
      <c r="H32" s="9"/>
      <c r="I32" s="140"/>
      <c r="J32" s="141"/>
      <c r="K32" s="141"/>
      <c r="L32" s="141"/>
      <c r="M32" s="141"/>
      <c r="N32" s="142"/>
      <c r="O32" s="31"/>
      <c r="P32" s="9"/>
      <c r="Q32" s="9"/>
      <c r="R32" s="9"/>
      <c r="S32" s="31"/>
    </row>
    <row r="33" spans="1:25" ht="15" customHeight="1" x14ac:dyDescent="0.3">
      <c r="A33" s="9"/>
      <c r="B33" s="6"/>
      <c r="C33" s="40"/>
      <c r="D33" s="40"/>
      <c r="E33" s="40"/>
      <c r="F33" s="40"/>
      <c r="G33" s="40"/>
      <c r="H33" s="40"/>
      <c r="I33" s="149" t="s">
        <v>87</v>
      </c>
      <c r="J33" s="150"/>
      <c r="K33" s="150"/>
      <c r="L33" s="150"/>
      <c r="M33" s="150"/>
      <c r="N33" s="151"/>
      <c r="O33" s="31"/>
      <c r="P33" s="9"/>
      <c r="Q33" s="9"/>
      <c r="R33" s="9"/>
      <c r="S33" s="31"/>
      <c r="Y33" s="8"/>
    </row>
    <row r="34" spans="1:25" ht="12.75" customHeight="1" x14ac:dyDescent="0.3">
      <c r="A34" s="9"/>
      <c r="B34" s="6"/>
      <c r="C34" s="40"/>
      <c r="D34" s="40"/>
      <c r="E34" s="40"/>
      <c r="F34" s="40"/>
      <c r="G34" s="40"/>
      <c r="H34" s="40"/>
      <c r="I34" s="152"/>
      <c r="J34" s="153"/>
      <c r="K34" s="153"/>
      <c r="L34" s="153"/>
      <c r="M34" s="153"/>
      <c r="N34" s="154"/>
      <c r="O34" s="31"/>
      <c r="P34" s="9"/>
      <c r="Q34" s="9"/>
      <c r="R34" s="9"/>
      <c r="S34" s="31"/>
      <c r="Y34" s="8"/>
    </row>
    <row r="35" spans="1:25" ht="12.75" customHeight="1" x14ac:dyDescent="0.3">
      <c r="A35" s="9"/>
      <c r="B35" s="6"/>
      <c r="C35" s="40"/>
      <c r="D35" s="40"/>
      <c r="E35" s="40"/>
      <c r="F35" s="40"/>
      <c r="G35" s="40"/>
      <c r="H35" s="40"/>
      <c r="I35" s="155"/>
      <c r="J35" s="156"/>
      <c r="K35" s="156"/>
      <c r="L35" s="156"/>
      <c r="M35" s="156"/>
      <c r="N35" s="157"/>
      <c r="O35" s="31"/>
      <c r="P35" s="9"/>
      <c r="Q35" s="9"/>
      <c r="R35" s="9"/>
      <c r="S35" s="31"/>
      <c r="Y35" s="8"/>
    </row>
    <row r="36" spans="1:25" ht="12.75" customHeight="1" x14ac:dyDescent="0.3">
      <c r="A36" s="9"/>
      <c r="B36" s="6"/>
      <c r="C36" s="40"/>
      <c r="D36" s="40"/>
      <c r="E36" s="40"/>
      <c r="F36" s="40"/>
      <c r="G36" s="40"/>
      <c r="H36" s="40"/>
      <c r="I36" s="147" t="s">
        <v>81</v>
      </c>
      <c r="J36" s="147"/>
      <c r="K36" s="148"/>
      <c r="L36" s="148"/>
      <c r="M36" s="148"/>
      <c r="N36" s="148"/>
      <c r="O36" s="31"/>
      <c r="P36" s="32"/>
      <c r="Q36" s="33"/>
      <c r="R36" s="32"/>
      <c r="S36" s="31"/>
    </row>
    <row r="37" spans="1:25" ht="3.75" customHeight="1" x14ac:dyDescent="0.25">
      <c r="A37" s="9"/>
      <c r="B37" s="5"/>
      <c r="C37" s="9"/>
      <c r="D37" s="9"/>
      <c r="E37" s="9"/>
      <c r="F37" s="9"/>
      <c r="G37" s="9"/>
      <c r="H37" s="9"/>
      <c r="I37" s="147"/>
      <c r="J37" s="147"/>
      <c r="K37" s="148"/>
      <c r="L37" s="148"/>
      <c r="M37" s="148"/>
      <c r="N37" s="148"/>
      <c r="O37" s="31"/>
      <c r="P37" s="32"/>
      <c r="Q37" s="33"/>
      <c r="R37" s="32"/>
      <c r="S37" s="31"/>
    </row>
    <row r="38" spans="1:25" ht="7.5" customHeight="1" x14ac:dyDescent="0.25">
      <c r="A38" s="9"/>
      <c r="B38" s="5"/>
      <c r="C38" s="9"/>
      <c r="D38" s="9"/>
      <c r="E38" s="9"/>
      <c r="F38" s="9"/>
      <c r="G38" s="9"/>
      <c r="H38" s="9"/>
      <c r="I38" s="147"/>
      <c r="J38" s="147"/>
      <c r="K38" s="148"/>
      <c r="L38" s="148"/>
      <c r="M38" s="148"/>
      <c r="N38" s="148"/>
      <c r="O38" s="31"/>
      <c r="P38" s="32"/>
      <c r="Q38" s="33"/>
      <c r="R38" s="32"/>
      <c r="S38" s="31"/>
    </row>
    <row r="39" spans="1:25" ht="4.5" customHeight="1" x14ac:dyDescent="0.25">
      <c r="A39" s="9"/>
      <c r="B39" s="5"/>
      <c r="C39" s="9"/>
      <c r="D39" s="9"/>
      <c r="E39" s="9"/>
      <c r="F39" s="9"/>
      <c r="G39" s="9"/>
      <c r="H39" s="9"/>
      <c r="I39" s="24"/>
      <c r="J39" s="25"/>
      <c r="K39" s="118"/>
      <c r="L39" s="118"/>
      <c r="M39" s="118"/>
      <c r="N39" s="118"/>
      <c r="O39" s="31"/>
      <c r="P39" s="32"/>
      <c r="Q39" s="33"/>
      <c r="R39" s="32"/>
      <c r="S39" s="31"/>
    </row>
    <row r="40" spans="1:25" ht="12.75" customHeight="1" x14ac:dyDescent="0.25">
      <c r="A40" s="9"/>
      <c r="B40" s="5"/>
      <c r="C40" s="9"/>
      <c r="D40" s="9"/>
      <c r="E40" s="9"/>
      <c r="F40" s="9"/>
      <c r="G40" s="9"/>
      <c r="H40" s="9"/>
      <c r="I40" s="128" t="s">
        <v>20</v>
      </c>
      <c r="J40" s="129"/>
      <c r="K40" s="118"/>
      <c r="L40" s="118"/>
      <c r="M40" s="118"/>
      <c r="N40" s="118"/>
      <c r="O40" s="31"/>
      <c r="P40" s="32"/>
      <c r="Q40" s="33"/>
      <c r="R40" s="32"/>
      <c r="S40" s="31"/>
    </row>
    <row r="41" spans="1:25" ht="5.5" customHeight="1" x14ac:dyDescent="0.25">
      <c r="A41" s="9"/>
      <c r="B41" s="5"/>
      <c r="C41" s="9"/>
      <c r="D41" s="9"/>
      <c r="E41" s="9"/>
      <c r="F41" s="9"/>
      <c r="G41" s="9"/>
      <c r="H41" s="9"/>
      <c r="I41" s="130"/>
      <c r="J41" s="131"/>
      <c r="K41" s="118"/>
      <c r="L41" s="118"/>
      <c r="M41" s="118"/>
      <c r="N41" s="118"/>
      <c r="O41" s="31"/>
      <c r="P41" s="32"/>
      <c r="Q41" s="33"/>
      <c r="R41" s="9"/>
      <c r="S41" s="31"/>
    </row>
    <row r="42" spans="1:25" ht="5.5" customHeight="1" x14ac:dyDescent="0.25">
      <c r="A42" s="9"/>
      <c r="B42" s="5"/>
      <c r="C42" s="180" t="s">
        <v>75</v>
      </c>
      <c r="D42" s="181"/>
      <c r="E42" s="186"/>
      <c r="F42" s="189" t="s">
        <v>39</v>
      </c>
      <c r="G42" s="192"/>
      <c r="H42" s="9"/>
      <c r="I42" s="116"/>
      <c r="J42" s="117"/>
      <c r="K42" s="108"/>
      <c r="L42" s="108"/>
      <c r="M42" s="108"/>
      <c r="N42" s="108"/>
      <c r="O42" s="31"/>
      <c r="P42" s="32"/>
      <c r="Q42" s="33"/>
      <c r="R42" s="9"/>
      <c r="S42" s="31"/>
    </row>
    <row r="43" spans="1:25" ht="11.25" customHeight="1" x14ac:dyDescent="0.25">
      <c r="A43" s="9"/>
      <c r="B43" s="5"/>
      <c r="C43" s="182"/>
      <c r="D43" s="183"/>
      <c r="E43" s="187"/>
      <c r="F43" s="190"/>
      <c r="G43" s="193"/>
      <c r="H43" s="9"/>
      <c r="I43" s="112" t="s">
        <v>21</v>
      </c>
      <c r="J43" s="113"/>
      <c r="K43" s="108"/>
      <c r="L43" s="108"/>
      <c r="M43" s="108"/>
      <c r="N43" s="108"/>
      <c r="O43" s="31"/>
      <c r="P43" s="32"/>
      <c r="Q43" s="33"/>
      <c r="R43" s="9"/>
      <c r="S43" s="31"/>
    </row>
    <row r="44" spans="1:25" ht="5.5" customHeight="1" x14ac:dyDescent="0.25">
      <c r="A44" s="9"/>
      <c r="B44" s="5"/>
      <c r="C44" s="184"/>
      <c r="D44" s="185"/>
      <c r="E44" s="188"/>
      <c r="F44" s="191"/>
      <c r="G44" s="194"/>
      <c r="H44" s="9"/>
      <c r="I44" s="114"/>
      <c r="J44" s="115"/>
      <c r="K44" s="108"/>
      <c r="L44" s="108"/>
      <c r="M44" s="108"/>
      <c r="N44" s="108"/>
      <c r="O44" s="31"/>
      <c r="P44" s="32"/>
      <c r="Q44" s="33"/>
      <c r="R44" s="9"/>
      <c r="S44" s="31"/>
    </row>
    <row r="45" spans="1:25" ht="5.5" customHeight="1" x14ac:dyDescent="0.25">
      <c r="A45" s="9"/>
      <c r="B45" s="5"/>
      <c r="C45" s="175" t="s">
        <v>74</v>
      </c>
      <c r="D45" s="176"/>
      <c r="E45" s="186"/>
      <c r="F45" s="189" t="s">
        <v>39</v>
      </c>
      <c r="G45" s="192"/>
      <c r="H45" s="9"/>
      <c r="I45" s="170"/>
      <c r="J45" s="171"/>
      <c r="K45" s="118"/>
      <c r="L45" s="118"/>
      <c r="M45" s="118"/>
      <c r="N45" s="118"/>
      <c r="O45" s="31"/>
      <c r="P45" s="32"/>
      <c r="Q45" s="33"/>
      <c r="R45" s="9"/>
      <c r="S45" s="31"/>
    </row>
    <row r="46" spans="1:25" ht="11.25" customHeight="1" x14ac:dyDescent="0.25">
      <c r="A46" s="9"/>
      <c r="B46" s="5"/>
      <c r="C46" s="195"/>
      <c r="D46" s="196"/>
      <c r="E46" s="187"/>
      <c r="F46" s="190"/>
      <c r="G46" s="193"/>
      <c r="H46" s="9"/>
      <c r="I46" s="112" t="s">
        <v>22</v>
      </c>
      <c r="J46" s="113"/>
      <c r="K46" s="118"/>
      <c r="L46" s="118"/>
      <c r="M46" s="118"/>
      <c r="N46" s="118"/>
      <c r="O46" s="31"/>
      <c r="P46" s="32"/>
      <c r="Q46" s="33"/>
      <c r="R46" s="9"/>
      <c r="S46" s="31"/>
    </row>
    <row r="47" spans="1:25" ht="5.25" customHeight="1" x14ac:dyDescent="0.25">
      <c r="A47" s="9"/>
      <c r="B47" s="5"/>
      <c r="C47" s="195"/>
      <c r="D47" s="196"/>
      <c r="E47" s="187"/>
      <c r="F47" s="190"/>
      <c r="G47" s="193"/>
      <c r="H47" s="9"/>
      <c r="I47" s="114"/>
      <c r="J47" s="115"/>
      <c r="K47" s="118"/>
      <c r="L47" s="118"/>
      <c r="M47" s="118"/>
      <c r="N47" s="118"/>
      <c r="O47" s="31"/>
      <c r="P47" s="32"/>
      <c r="Q47" s="33"/>
      <c r="R47" s="9"/>
      <c r="S47" s="31"/>
    </row>
    <row r="48" spans="1:25" ht="5.25" customHeight="1" x14ac:dyDescent="0.25">
      <c r="A48" s="9"/>
      <c r="B48" s="5"/>
      <c r="C48" s="177"/>
      <c r="D48" s="178"/>
      <c r="E48" s="188"/>
      <c r="F48" s="191"/>
      <c r="G48" s="194"/>
      <c r="H48" s="9"/>
      <c r="I48" s="14"/>
      <c r="J48" s="9"/>
      <c r="K48" s="26"/>
      <c r="L48" s="26"/>
      <c r="M48" s="26"/>
      <c r="N48" s="41"/>
      <c r="O48" s="31"/>
      <c r="P48" s="32"/>
      <c r="Q48" s="33"/>
      <c r="R48" s="9"/>
      <c r="S48" s="31"/>
    </row>
    <row r="49" spans="1:19" ht="11.25" customHeight="1" x14ac:dyDescent="0.25">
      <c r="A49" s="9"/>
      <c r="B49" s="5"/>
      <c r="C49" s="175" t="s">
        <v>40</v>
      </c>
      <c r="D49" s="176"/>
      <c r="E49" s="186"/>
      <c r="F49" s="189" t="s">
        <v>39</v>
      </c>
      <c r="G49" s="192"/>
      <c r="H49" s="9"/>
      <c r="I49" s="109" t="s">
        <v>23</v>
      </c>
      <c r="J49" s="110"/>
      <c r="K49" s="110"/>
      <c r="L49" s="110"/>
      <c r="M49" s="110"/>
      <c r="N49" s="111"/>
      <c r="O49" s="31"/>
      <c r="P49" s="32"/>
      <c r="Q49" s="33"/>
      <c r="R49" s="9"/>
      <c r="S49" s="31"/>
    </row>
    <row r="50" spans="1:19" ht="11.25" customHeight="1" x14ac:dyDescent="0.25">
      <c r="A50" s="9"/>
      <c r="B50" s="5"/>
      <c r="C50" s="177"/>
      <c r="D50" s="178"/>
      <c r="E50" s="188"/>
      <c r="F50" s="191"/>
      <c r="G50" s="194"/>
      <c r="H50" s="9"/>
      <c r="I50" s="42"/>
      <c r="J50" s="48"/>
      <c r="K50" s="48"/>
      <c r="L50" s="48"/>
      <c r="M50" s="48"/>
      <c r="N50" s="49"/>
      <c r="O50" s="31"/>
      <c r="P50" s="32"/>
      <c r="Q50" s="33"/>
      <c r="R50" s="9"/>
      <c r="S50" s="31"/>
    </row>
    <row r="51" spans="1:19" ht="11.25" customHeight="1" x14ac:dyDescent="0.25">
      <c r="A51" s="9"/>
      <c r="B51" s="5"/>
      <c r="C51" s="175" t="s">
        <v>41</v>
      </c>
      <c r="D51" s="176"/>
      <c r="E51" s="186"/>
      <c r="F51" s="190" t="s">
        <v>39</v>
      </c>
      <c r="G51" s="192"/>
      <c r="H51" s="9"/>
      <c r="I51" s="43"/>
      <c r="J51" s="47"/>
      <c r="K51" s="174"/>
      <c r="L51" s="174"/>
      <c r="M51" s="21"/>
      <c r="N51" s="27"/>
      <c r="O51" s="31"/>
      <c r="P51" s="32"/>
      <c r="Q51" s="33"/>
      <c r="R51" s="9"/>
      <c r="S51" s="31"/>
    </row>
    <row r="52" spans="1:19" ht="12.75" customHeight="1" x14ac:dyDescent="0.25">
      <c r="A52" s="9"/>
      <c r="B52" s="5"/>
      <c r="C52" s="177"/>
      <c r="D52" s="178"/>
      <c r="E52" s="188"/>
      <c r="F52" s="191"/>
      <c r="G52" s="194"/>
      <c r="H52" s="9"/>
      <c r="I52" s="87" t="s">
        <v>25</v>
      </c>
      <c r="J52" s="46"/>
      <c r="K52" s="21"/>
      <c r="L52" s="21"/>
      <c r="M52" s="106" t="s">
        <v>24</v>
      </c>
      <c r="N52" s="107"/>
      <c r="O52" s="31"/>
      <c r="P52" s="9"/>
      <c r="Q52" s="9"/>
      <c r="R52" s="9"/>
      <c r="S52" s="31"/>
    </row>
    <row r="53" spans="1:19" ht="12.75" customHeight="1" thickBot="1" x14ac:dyDescent="0.4">
      <c r="A53" s="9"/>
      <c r="B53" s="7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51"/>
      <c r="O53" s="37"/>
      <c r="P53" s="36"/>
      <c r="Q53" s="36"/>
      <c r="R53" s="35"/>
      <c r="S53" s="37"/>
    </row>
    <row r="54" spans="1:19" ht="12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ht="12.75" customHeight="1" x14ac:dyDescent="0.35">
      <c r="A55" s="9"/>
      <c r="B55" s="9"/>
      <c r="C55" s="9"/>
      <c r="D55" s="9"/>
      <c r="E55" s="9"/>
      <c r="F55" s="9"/>
      <c r="G55" s="9"/>
      <c r="H55" s="9"/>
      <c r="I55" s="62"/>
      <c r="J55" s="62"/>
      <c r="K55" s="62"/>
      <c r="L55" s="9"/>
      <c r="M55" s="63"/>
      <c r="N55" s="9"/>
      <c r="O55" s="65"/>
      <c r="P55" s="9"/>
      <c r="Q55" s="9"/>
      <c r="R55" s="9"/>
      <c r="S55" s="9"/>
    </row>
    <row r="56" spans="1:19" ht="12.75" customHeight="1" x14ac:dyDescent="0.35">
      <c r="A56" s="9"/>
      <c r="B56" s="9"/>
      <c r="C56" s="9"/>
      <c r="D56" s="9"/>
      <c r="E56" s="9"/>
      <c r="F56" s="9"/>
      <c r="G56" s="9"/>
      <c r="H56" s="9"/>
      <c r="I56" s="62"/>
      <c r="J56" s="62"/>
      <c r="K56" s="62"/>
      <c r="L56" s="63"/>
      <c r="M56" s="63"/>
      <c r="N56" s="9"/>
      <c r="O56" s="65"/>
      <c r="P56" s="9"/>
      <c r="Q56" s="9"/>
      <c r="R56" s="9"/>
      <c r="S56" s="9"/>
    </row>
    <row r="57" spans="1:19" ht="12.75" customHeight="1" x14ac:dyDescent="0.35">
      <c r="A57" s="9"/>
      <c r="B57" s="9"/>
      <c r="C57" s="9"/>
      <c r="D57" s="9"/>
      <c r="E57" s="9"/>
      <c r="F57" s="9"/>
      <c r="G57" s="9"/>
      <c r="H57" s="9"/>
      <c r="I57" s="61"/>
      <c r="J57" s="62"/>
      <c r="K57" s="62"/>
      <c r="L57" s="63"/>
      <c r="M57" s="64"/>
      <c r="N57" s="9"/>
      <c r="O57" s="9"/>
      <c r="P57" s="9"/>
      <c r="Q57" s="9"/>
      <c r="R57" s="9"/>
      <c r="S57" s="9"/>
    </row>
    <row r="58" spans="1:19" ht="12.75" customHeight="1" x14ac:dyDescent="0.35">
      <c r="A58" s="9"/>
      <c r="B58" s="9"/>
      <c r="C58" s="9"/>
      <c r="D58" s="9"/>
      <c r="E58" s="9"/>
      <c r="F58" s="9"/>
      <c r="G58" s="9"/>
      <c r="H58" s="9"/>
      <c r="I58" s="62"/>
      <c r="J58" s="62"/>
      <c r="K58" s="62"/>
      <c r="L58" s="64"/>
      <c r="M58" s="65"/>
      <c r="N58" s="65"/>
      <c r="O58" s="9"/>
      <c r="P58" s="9"/>
      <c r="Q58" s="9"/>
      <c r="R58" s="9"/>
      <c r="S58" s="9"/>
    </row>
    <row r="59" spans="1:19" ht="12.75" customHeight="1" x14ac:dyDescent="0.35">
      <c r="A59" s="9"/>
      <c r="B59" s="66"/>
      <c r="C59" s="66"/>
      <c r="D59" s="66"/>
      <c r="E59" s="66"/>
      <c r="F59" s="66"/>
      <c r="G59" s="66"/>
      <c r="H59" s="66"/>
      <c r="I59" s="9"/>
      <c r="J59" s="9"/>
      <c r="K59" s="65"/>
      <c r="L59" s="65"/>
      <c r="M59" s="9"/>
      <c r="N59" s="9"/>
      <c r="O59" s="9"/>
      <c r="P59" s="9"/>
      <c r="Q59" s="9"/>
      <c r="R59" s="9"/>
      <c r="S59" s="9"/>
    </row>
    <row r="60" spans="1:19" ht="12.75" customHeight="1" x14ac:dyDescent="0.25">
      <c r="A60" s="9"/>
      <c r="B60" s="66"/>
      <c r="C60" s="66"/>
      <c r="D60" s="66"/>
      <c r="E60" s="66"/>
      <c r="F60" s="66"/>
      <c r="G60" s="66"/>
      <c r="H60" s="66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12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2.75" customHeight="1" x14ac:dyDescent="0.25">
      <c r="A62" s="9"/>
      <c r="B62" s="161"/>
      <c r="C62" s="85"/>
      <c r="D62" s="85"/>
      <c r="E62" s="85"/>
      <c r="F62" s="85"/>
      <c r="G62" s="85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12.75" customHeight="1" x14ac:dyDescent="0.35">
      <c r="A63" s="9"/>
      <c r="B63" s="161"/>
      <c r="C63" s="85"/>
      <c r="D63" s="85"/>
      <c r="E63" s="85"/>
      <c r="F63" s="85"/>
      <c r="G63" s="85"/>
      <c r="H63" s="9"/>
      <c r="I63" s="9"/>
      <c r="J63" s="9"/>
      <c r="K63" s="9"/>
      <c r="L63" s="9"/>
      <c r="M63" s="63"/>
      <c r="N63" s="65"/>
      <c r="O63" s="9"/>
      <c r="P63" s="9"/>
      <c r="Q63" s="9"/>
      <c r="R63" s="9"/>
      <c r="S63" s="9"/>
    </row>
    <row r="64" spans="1:19" ht="12.75" customHeight="1" x14ac:dyDescent="0.35">
      <c r="A64" s="9"/>
      <c r="B64" s="66"/>
      <c r="C64" s="66"/>
      <c r="D64" s="66"/>
      <c r="E64" s="66"/>
      <c r="F64" s="66"/>
      <c r="G64" s="66"/>
      <c r="H64" s="9"/>
      <c r="I64" s="67"/>
      <c r="J64" s="67"/>
      <c r="K64" s="63"/>
      <c r="L64" s="63"/>
      <c r="M64" s="63"/>
      <c r="N64" s="65"/>
      <c r="O64" s="9"/>
      <c r="P64" s="9"/>
      <c r="Q64" s="9"/>
      <c r="R64" s="9"/>
      <c r="S64" s="9"/>
    </row>
    <row r="65" spans="1:19" ht="12.75" customHeight="1" x14ac:dyDescent="0.35">
      <c r="A65" s="9"/>
      <c r="B65" s="66"/>
      <c r="C65" s="66"/>
      <c r="D65" s="66"/>
      <c r="E65" s="66"/>
      <c r="F65" s="66"/>
      <c r="G65" s="66"/>
      <c r="H65" s="9"/>
      <c r="I65" s="63"/>
      <c r="J65" s="63"/>
      <c r="K65" s="63"/>
      <c r="L65" s="63"/>
      <c r="M65" s="65"/>
      <c r="N65" s="65"/>
      <c r="O65" s="9"/>
      <c r="P65" s="9"/>
      <c r="Q65" s="9"/>
      <c r="R65" s="9"/>
      <c r="S65" s="9"/>
    </row>
    <row r="66" spans="1:19" ht="12.75" customHeight="1" x14ac:dyDescent="0.35">
      <c r="B66" s="55"/>
      <c r="C66" s="55"/>
      <c r="D66" s="55"/>
      <c r="E66" s="55"/>
      <c r="F66" s="55"/>
      <c r="G66" s="55"/>
      <c r="I66" s="3"/>
      <c r="J66" s="3"/>
      <c r="K66" s="3"/>
      <c r="L66" s="3"/>
    </row>
    <row r="67" spans="1:19" ht="12.75" customHeight="1" x14ac:dyDescent="0.25">
      <c r="B67" s="55"/>
      <c r="C67" s="55"/>
      <c r="D67" s="55"/>
      <c r="E67" s="55"/>
      <c r="F67" s="55"/>
      <c r="G67" s="55"/>
    </row>
    <row r="68" spans="1:19" ht="12.75" customHeight="1" x14ac:dyDescent="0.25">
      <c r="B68" s="55"/>
      <c r="C68" s="55"/>
      <c r="D68" s="55"/>
      <c r="E68" s="55"/>
      <c r="F68" s="55"/>
      <c r="G68" s="55"/>
    </row>
    <row r="69" spans="1:19" ht="12.75" customHeight="1" x14ac:dyDescent="0.25">
      <c r="B69" s="55"/>
      <c r="C69" s="55"/>
      <c r="D69" s="55"/>
      <c r="E69" s="55"/>
      <c r="F69" s="55"/>
      <c r="G69" s="55"/>
    </row>
    <row r="70" spans="1:19" ht="12.75" customHeight="1" x14ac:dyDescent="0.25">
      <c r="B70" s="57"/>
      <c r="C70" s="57"/>
      <c r="D70" s="57"/>
      <c r="E70" s="57"/>
      <c r="F70" s="57"/>
      <c r="G70" s="57"/>
    </row>
    <row r="71" spans="1:19" ht="12.75" customHeight="1" x14ac:dyDescent="0.25">
      <c r="B71" s="55"/>
      <c r="C71" s="55"/>
      <c r="D71" s="55"/>
      <c r="E71" s="55"/>
      <c r="F71" s="55"/>
      <c r="G71" s="55"/>
    </row>
    <row r="72" spans="1:19" ht="12.75" customHeight="1" x14ac:dyDescent="0.25">
      <c r="B72" s="56"/>
      <c r="C72" s="56"/>
      <c r="D72" s="56"/>
      <c r="E72" s="56"/>
      <c r="F72" s="56"/>
      <c r="G72" s="56"/>
    </row>
    <row r="73" spans="1:19" ht="12.75" customHeight="1" x14ac:dyDescent="0.25">
      <c r="B73" s="57"/>
      <c r="C73" s="57"/>
      <c r="D73" s="57"/>
      <c r="E73" s="57"/>
      <c r="F73" s="57"/>
      <c r="G73" s="57"/>
    </row>
    <row r="74" spans="1:19" ht="12.75" customHeight="1" x14ac:dyDescent="0.25">
      <c r="B74" s="58"/>
      <c r="C74" s="58"/>
      <c r="D74" s="58"/>
      <c r="E74" s="58"/>
      <c r="F74" s="58"/>
      <c r="G74" s="58"/>
    </row>
    <row r="75" spans="1:19" ht="12.75" customHeight="1" x14ac:dyDescent="0.25">
      <c r="B75" s="58"/>
      <c r="C75" s="58"/>
      <c r="D75" s="58"/>
      <c r="E75" s="58"/>
      <c r="F75" s="58"/>
      <c r="G75" s="58"/>
    </row>
    <row r="76" spans="1:19" ht="12.75" customHeight="1" x14ac:dyDescent="0.25">
      <c r="B76" s="56"/>
      <c r="C76" s="56"/>
      <c r="D76" s="56"/>
      <c r="E76" s="56"/>
      <c r="F76" s="56"/>
      <c r="G76" s="56"/>
    </row>
    <row r="77" spans="1:19" ht="12.75" customHeight="1" x14ac:dyDescent="0.25">
      <c r="B77" s="55"/>
      <c r="C77" s="55"/>
      <c r="D77" s="55"/>
      <c r="E77" s="55"/>
      <c r="F77" s="55"/>
      <c r="G77" s="55"/>
    </row>
    <row r="78" spans="1:19" ht="12.75" customHeight="1" x14ac:dyDescent="0.25">
      <c r="B78" s="55"/>
      <c r="C78" s="55"/>
      <c r="D78" s="55"/>
      <c r="E78" s="55"/>
      <c r="F78" s="55"/>
      <c r="G78" s="55"/>
    </row>
    <row r="79" spans="1:19" ht="12.75" customHeight="1" x14ac:dyDescent="0.25">
      <c r="B79" s="55"/>
      <c r="C79" s="55"/>
      <c r="D79" s="55"/>
      <c r="E79" s="55"/>
      <c r="F79" s="55"/>
      <c r="G79" s="55"/>
    </row>
    <row r="80" spans="1:19" ht="12.75" customHeight="1" x14ac:dyDescent="0.25">
      <c r="B80" s="55"/>
      <c r="C80" s="55"/>
      <c r="D80" s="55"/>
      <c r="E80" s="55"/>
      <c r="F80" s="55"/>
      <c r="G80" s="55"/>
    </row>
    <row r="81" spans="2:17" ht="12.75" customHeight="1" x14ac:dyDescent="0.25">
      <c r="B81" s="59"/>
      <c r="C81" s="179" t="s">
        <v>110</v>
      </c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</row>
    <row r="82" spans="2:17" ht="12.75" customHeight="1" x14ac:dyDescent="0.35">
      <c r="B82" s="68"/>
      <c r="C82" s="68"/>
      <c r="D82" s="68"/>
      <c r="E82" s="68"/>
      <c r="F82" s="68"/>
      <c r="G82" s="68"/>
      <c r="H82"/>
      <c r="I82"/>
    </row>
    <row r="83" spans="2:17" ht="12.75" customHeight="1" x14ac:dyDescent="0.35">
      <c r="B83" s="60"/>
      <c r="C83" s="60"/>
      <c r="D83" s="60"/>
      <c r="E83" s="60"/>
      <c r="F83" s="60"/>
      <c r="G83" s="60"/>
      <c r="H83"/>
      <c r="I83" s="60"/>
    </row>
    <row r="84" spans="2:17" ht="12.75" customHeight="1" x14ac:dyDescent="0.35">
      <c r="B84" s="60"/>
      <c r="C84" s="60"/>
      <c r="D84" s="60"/>
      <c r="E84" s="60"/>
      <c r="F84" s="60"/>
      <c r="G84" s="60"/>
      <c r="H84"/>
      <c r="I84"/>
    </row>
    <row r="85" spans="2:17" ht="12.75" customHeight="1" x14ac:dyDescent="0.35">
      <c r="B85" s="60"/>
      <c r="C85" s="60"/>
      <c r="D85" s="60"/>
      <c r="E85" s="60"/>
      <c r="F85" s="60"/>
      <c r="G85" s="60"/>
      <c r="H85"/>
      <c r="I85"/>
    </row>
    <row r="86" spans="2:17" ht="12.75" customHeight="1" x14ac:dyDescent="0.35">
      <c r="B86" s="60"/>
      <c r="C86" s="60"/>
      <c r="D86" s="60"/>
      <c r="E86" s="60"/>
      <c r="F86" s="60"/>
      <c r="G86" s="60"/>
      <c r="H86"/>
      <c r="I86"/>
    </row>
    <row r="87" spans="2:17" ht="12.75" customHeight="1" x14ac:dyDescent="0.35">
      <c r="B87" s="60"/>
      <c r="C87" s="60"/>
      <c r="D87" s="60"/>
      <c r="E87" s="60"/>
      <c r="F87" s="60"/>
      <c r="G87" s="60"/>
      <c r="H87"/>
      <c r="I87"/>
    </row>
    <row r="88" spans="2:17" ht="12.75" customHeight="1" x14ac:dyDescent="0.35">
      <c r="B88" s="60"/>
      <c r="C88" s="60"/>
      <c r="D88" s="60"/>
      <c r="E88" s="60"/>
      <c r="F88" s="60"/>
      <c r="G88" s="60"/>
      <c r="H88"/>
      <c r="I88"/>
    </row>
    <row r="89" spans="2:17" ht="12.75" customHeight="1" x14ac:dyDescent="0.35">
      <c r="B89" s="60"/>
      <c r="C89" s="60"/>
      <c r="D89" s="60"/>
      <c r="E89" s="60"/>
      <c r="F89" s="60"/>
      <c r="G89" s="60"/>
      <c r="H89"/>
      <c r="I89"/>
    </row>
    <row r="90" spans="2:17" ht="12.75" customHeight="1" x14ac:dyDescent="0.35">
      <c r="B90" s="60"/>
      <c r="C90" s="60"/>
      <c r="D90" s="60"/>
      <c r="E90" s="60"/>
      <c r="F90" s="60"/>
      <c r="G90" s="60"/>
      <c r="H90"/>
      <c r="I90"/>
    </row>
    <row r="91" spans="2:17" ht="12.75" customHeight="1" x14ac:dyDescent="0.35">
      <c r="B91" s="60"/>
      <c r="C91" s="60"/>
      <c r="D91" s="60"/>
      <c r="E91" s="60"/>
      <c r="F91" s="60"/>
      <c r="G91" s="60"/>
      <c r="H91"/>
      <c r="I91"/>
    </row>
  </sheetData>
  <sheetProtection algorithmName="SHA-512" hashValue="FNcaQT0QrLNKrF/APQmSduL+unJ3oG785L0cmReKrJWQ/1/MPaFqK6MFlFog4vZdkz51qGB5AmkKYAk5q/+zAQ==" saltValue="l68t5iFkGnAnKYB7fS0sxw==" spinCount="100000" sheet="1" objects="1" scenarios="1" selectLockedCells="1"/>
  <customSheetViews>
    <customSheetView guid="{19898B3C-F880-11DE-A5CE-0026BB674B30}" scale="200" outlineSymbols="0" fitToPage="1" printArea="1" hiddenColumns="1">
      <selection sqref="A1:K29"/>
      <pageMargins left="0.5" right="0" top="1.31" bottom="0.17" header="0.5" footer="0.5"/>
      <printOptions horizontalCentered="1"/>
      <pageSetup scale="94" orientation="landscape" horizontalDpi="4294967292" verticalDpi="4294967292"/>
      <headerFooter alignWithMargins="0"/>
    </customSheetView>
  </customSheetViews>
  <mergeCells count="58">
    <mergeCell ref="C81:Q81"/>
    <mergeCell ref="C42:D44"/>
    <mergeCell ref="E42:E44"/>
    <mergeCell ref="F42:F44"/>
    <mergeCell ref="G42:G44"/>
    <mergeCell ref="C45:D48"/>
    <mergeCell ref="E45:E48"/>
    <mergeCell ref="F45:F48"/>
    <mergeCell ref="G45:G48"/>
    <mergeCell ref="E51:E52"/>
    <mergeCell ref="F51:F52"/>
    <mergeCell ref="G51:G52"/>
    <mergeCell ref="C49:D50"/>
    <mergeCell ref="E49:E50"/>
    <mergeCell ref="F49:F50"/>
    <mergeCell ref="G49:G50"/>
    <mergeCell ref="B62:B63"/>
    <mergeCell ref="J7:K7"/>
    <mergeCell ref="J8:K8"/>
    <mergeCell ref="J9:K9"/>
    <mergeCell ref="J11:K11"/>
    <mergeCell ref="J12:K12"/>
    <mergeCell ref="J13:K13"/>
    <mergeCell ref="J14:K14"/>
    <mergeCell ref="J15:K15"/>
    <mergeCell ref="J16:K16"/>
    <mergeCell ref="J17:K17"/>
    <mergeCell ref="I45:J45"/>
    <mergeCell ref="I29:N30"/>
    <mergeCell ref="K51:L51"/>
    <mergeCell ref="I47:J47"/>
    <mergeCell ref="C51:D52"/>
    <mergeCell ref="J1:M1"/>
    <mergeCell ref="J6:K6"/>
    <mergeCell ref="J4:N4"/>
    <mergeCell ref="I40:J40"/>
    <mergeCell ref="I41:J41"/>
    <mergeCell ref="K39:N41"/>
    <mergeCell ref="I24:N24"/>
    <mergeCell ref="J18:K18"/>
    <mergeCell ref="I31:N32"/>
    <mergeCell ref="I2:N3"/>
    <mergeCell ref="J10:K10"/>
    <mergeCell ref="I36:J38"/>
    <mergeCell ref="K36:N38"/>
    <mergeCell ref="I33:N35"/>
    <mergeCell ref="I20:N20"/>
    <mergeCell ref="J21:N21"/>
    <mergeCell ref="J22:N22"/>
    <mergeCell ref="M52:N52"/>
    <mergeCell ref="K42:N44"/>
    <mergeCell ref="I49:N49"/>
    <mergeCell ref="I43:J43"/>
    <mergeCell ref="I44:J44"/>
    <mergeCell ref="I42:J42"/>
    <mergeCell ref="I46:J46"/>
    <mergeCell ref="K45:N47"/>
    <mergeCell ref="J23:N23"/>
  </mergeCells>
  <phoneticPr fontId="0" type="noConversion"/>
  <conditionalFormatting sqref="I20:N20">
    <cfRule type="expression" dxfId="3" priority="1">
      <formula>"(Len($D$20)+Len($D$21)+Len($D$22)+Len($D$23) == 0)"</formula>
    </cfRule>
    <cfRule type="expression" dxfId="2" priority="2">
      <formula>(LEN($I$25:$I$28) &gt; 1)</formula>
    </cfRule>
  </conditionalFormatting>
  <conditionalFormatting sqref="I24:N24">
    <cfRule type="expression" dxfId="1" priority="3">
      <formula>"(Len($D$20)+Len($D$21)+Len($D$22)+Len($D$23) == 0)"</formula>
    </cfRule>
    <cfRule type="expression" dxfId="0" priority="5">
      <formula>(LEN($I$25:$I$28) &gt; 1)</formula>
    </cfRule>
  </conditionalFormatting>
  <dataValidations count="2">
    <dataValidation type="decimal" allowBlank="1" showInputMessage="1" showErrorMessage="1" sqref="J8:K10" xr:uid="{3F5F9DFD-184D-40C9-BAB1-8E7F3763FC13}">
      <formula1>0</formula1>
      <formula2>1000</formula2>
    </dataValidation>
    <dataValidation type="decimal" allowBlank="1" showInputMessage="1" showErrorMessage="1" sqref="J14:K14 J17:K17" xr:uid="{0AAB4ED2-6C65-4946-B1E2-714CF5445188}">
      <formula1>0</formula1>
      <formula2>100</formula2>
    </dataValidation>
  </dataValidations>
  <printOptions horizontalCentered="1"/>
  <pageMargins left="0.25" right="0.25" top="0.49" bottom="0.41" header="0.3" footer="0.3"/>
  <pageSetup scale="92" orientation="landscape" horizontalDpi="4294967292" verticalDpi="4294967292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A689CD2-39CB-482B-8192-93F96FA46C42}">
          <x14:formula1>
            <xm:f>Data!$F$3:$F$12</xm:f>
          </x14:formula1>
          <xm:sqref>J4:N4</xm:sqref>
        </x14:dataValidation>
        <x14:dataValidation type="decimal" allowBlank="1" showInputMessage="1" showErrorMessage="1" xr:uid="{5F1CCA50-C378-4CA4-9D7F-F0086CA8EDB5}">
          <x14:formula1>
            <xm:f>0</xm:f>
          </x14:formula1>
          <x14:formula2>
            <xm:f>Data!B18</xm:f>
          </x14:formula2>
          <xm:sqref>J11:K12</xm:sqref>
        </x14:dataValidation>
        <x14:dataValidation type="decimal" allowBlank="1" showErrorMessage="1" errorTitle="Incorrect Oil Level" error="Oil Level Must Be Within Min and Max Level! Please contact Dispatch or Instructors if you need help." xr:uid="{69543183-26AF-4607-B643-E73968D288C0}">
          <x14:formula1>
            <xm:f>VLOOKUP(J4,Data!F3:AH12,28,FALSE)</xm:f>
          </x14:formula1>
          <x14:formula2>
            <xm:f>VLOOKUP(J4,Data!F3:AH12,29,FALSE)</xm:f>
          </x14:formula2>
          <xm:sqref>J23:N23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0214-B512-4C09-8C97-8FE9BA99825E}">
  <sheetPr codeName="Sheet2"/>
  <dimension ref="A1:D72"/>
  <sheetViews>
    <sheetView topLeftCell="A43" workbookViewId="0">
      <selection activeCell="C75" sqref="C75"/>
    </sheetView>
  </sheetViews>
  <sheetFormatPr defaultRowHeight="12.9" x14ac:dyDescent="0.35"/>
  <cols>
    <col min="1" max="1" width="13.4609375" customWidth="1"/>
    <col min="2" max="2" width="12.53515625" customWidth="1"/>
    <col min="3" max="3" width="51.4609375" customWidth="1"/>
  </cols>
  <sheetData>
    <row r="1" spans="1:4" x14ac:dyDescent="0.35">
      <c r="A1" s="89" t="s">
        <v>82</v>
      </c>
      <c r="B1" s="89" t="s">
        <v>83</v>
      </c>
      <c r="C1" s="89" t="s">
        <v>84</v>
      </c>
    </row>
    <row r="2" spans="1:4" x14ac:dyDescent="0.35">
      <c r="A2" s="88">
        <v>43947</v>
      </c>
      <c r="B2" t="s">
        <v>100</v>
      </c>
      <c r="C2" t="s">
        <v>95</v>
      </c>
    </row>
    <row r="4" spans="1:4" x14ac:dyDescent="0.35">
      <c r="A4" s="88">
        <v>43949</v>
      </c>
      <c r="B4" t="s">
        <v>99</v>
      </c>
      <c r="C4" s="90" t="s">
        <v>88</v>
      </c>
      <c r="D4" s="90"/>
    </row>
    <row r="5" spans="1:4" x14ac:dyDescent="0.35">
      <c r="C5" t="s">
        <v>89</v>
      </c>
    </row>
    <row r="6" spans="1:4" x14ac:dyDescent="0.35">
      <c r="C6" t="s">
        <v>90</v>
      </c>
    </row>
    <row r="7" spans="1:4" x14ac:dyDescent="0.35">
      <c r="C7" t="s">
        <v>91</v>
      </c>
    </row>
    <row r="8" spans="1:4" x14ac:dyDescent="0.35">
      <c r="C8" t="s">
        <v>94</v>
      </c>
    </row>
    <row r="10" spans="1:4" x14ac:dyDescent="0.35">
      <c r="A10" s="88">
        <v>43950</v>
      </c>
      <c r="B10" t="s">
        <v>98</v>
      </c>
      <c r="C10" t="s">
        <v>92</v>
      </c>
    </row>
    <row r="11" spans="1:4" x14ac:dyDescent="0.35">
      <c r="C11" t="s">
        <v>93</v>
      </c>
    </row>
    <row r="13" spans="1:4" x14ac:dyDescent="0.35">
      <c r="A13" s="88">
        <v>43953</v>
      </c>
      <c r="B13" t="s">
        <v>97</v>
      </c>
      <c r="C13" t="s">
        <v>101</v>
      </c>
    </row>
    <row r="15" spans="1:4" x14ac:dyDescent="0.35">
      <c r="A15" s="88">
        <v>43960</v>
      </c>
      <c r="B15" t="s">
        <v>102</v>
      </c>
      <c r="C15" t="s">
        <v>103</v>
      </c>
    </row>
    <row r="17" spans="1:3" x14ac:dyDescent="0.35">
      <c r="A17" s="88">
        <v>43961</v>
      </c>
      <c r="B17" t="s">
        <v>107</v>
      </c>
      <c r="C17" t="s">
        <v>105</v>
      </c>
    </row>
    <row r="18" spans="1:3" x14ac:dyDescent="0.35">
      <c r="C18" t="s">
        <v>106</v>
      </c>
    </row>
    <row r="20" spans="1:3" x14ac:dyDescent="0.35">
      <c r="A20" s="88">
        <v>43996</v>
      </c>
      <c r="B20" t="s">
        <v>112</v>
      </c>
      <c r="C20" t="s">
        <v>113</v>
      </c>
    </row>
    <row r="21" spans="1:3" x14ac:dyDescent="0.35">
      <c r="C21" t="s">
        <v>114</v>
      </c>
    </row>
    <row r="23" spans="1:3" x14ac:dyDescent="0.35">
      <c r="A23" s="88">
        <v>44023</v>
      </c>
      <c r="B23" t="s">
        <v>115</v>
      </c>
      <c r="C23" t="s">
        <v>116</v>
      </c>
    </row>
    <row r="25" spans="1:3" x14ac:dyDescent="0.35">
      <c r="A25" s="88">
        <v>44035</v>
      </c>
      <c r="B25" t="s">
        <v>117</v>
      </c>
      <c r="C25" t="s">
        <v>118</v>
      </c>
    </row>
    <row r="27" spans="1:3" x14ac:dyDescent="0.35">
      <c r="A27" s="88">
        <v>44075</v>
      </c>
      <c r="B27" t="s">
        <v>119</v>
      </c>
      <c r="C27" t="s">
        <v>120</v>
      </c>
    </row>
    <row r="29" spans="1:3" x14ac:dyDescent="0.35">
      <c r="A29" s="88">
        <v>44137</v>
      </c>
      <c r="B29" t="s">
        <v>123</v>
      </c>
      <c r="C29" t="s">
        <v>124</v>
      </c>
    </row>
    <row r="31" spans="1:3" x14ac:dyDescent="0.35">
      <c r="A31" s="88">
        <v>44245</v>
      </c>
      <c r="B31" t="s">
        <v>129</v>
      </c>
      <c r="C31" t="s">
        <v>130</v>
      </c>
    </row>
    <row r="33" spans="1:3" x14ac:dyDescent="0.35">
      <c r="A33" s="88">
        <v>44246</v>
      </c>
      <c r="B33" t="s">
        <v>131</v>
      </c>
      <c r="C33" t="s">
        <v>132</v>
      </c>
    </row>
    <row r="35" spans="1:3" x14ac:dyDescent="0.35">
      <c r="A35" s="88">
        <v>44349</v>
      </c>
      <c r="B35" t="s">
        <v>133</v>
      </c>
      <c r="C35" t="s">
        <v>135</v>
      </c>
    </row>
    <row r="36" spans="1:3" x14ac:dyDescent="0.35">
      <c r="C36" t="s">
        <v>134</v>
      </c>
    </row>
    <row r="38" spans="1:3" x14ac:dyDescent="0.35">
      <c r="A38" s="88">
        <v>44359</v>
      </c>
      <c r="B38" t="s">
        <v>137</v>
      </c>
      <c r="C38" t="s">
        <v>138</v>
      </c>
    </row>
    <row r="40" spans="1:3" x14ac:dyDescent="0.35">
      <c r="A40" s="88">
        <v>44393</v>
      </c>
      <c r="B40" t="s">
        <v>139</v>
      </c>
      <c r="C40" t="s">
        <v>142</v>
      </c>
    </row>
    <row r="42" spans="1:3" x14ac:dyDescent="0.35">
      <c r="A42" s="88">
        <v>44449</v>
      </c>
      <c r="B42" t="s">
        <v>140</v>
      </c>
      <c r="C42" t="s">
        <v>141</v>
      </c>
    </row>
    <row r="44" spans="1:3" x14ac:dyDescent="0.35">
      <c r="A44" s="88">
        <v>44457</v>
      </c>
      <c r="B44" t="s">
        <v>143</v>
      </c>
      <c r="C44" t="s">
        <v>144</v>
      </c>
    </row>
    <row r="46" spans="1:3" x14ac:dyDescent="0.35">
      <c r="A46" s="88">
        <v>44734</v>
      </c>
      <c r="B46" t="s">
        <v>145</v>
      </c>
      <c r="C46" t="s">
        <v>146</v>
      </c>
    </row>
    <row r="48" spans="1:3" x14ac:dyDescent="0.35">
      <c r="A48" s="88">
        <v>44756</v>
      </c>
      <c r="B48" t="s">
        <v>147</v>
      </c>
      <c r="C48" t="s">
        <v>148</v>
      </c>
    </row>
    <row r="50" spans="1:3" x14ac:dyDescent="0.35">
      <c r="A50" s="88">
        <v>44796</v>
      </c>
      <c r="B50" t="s">
        <v>149</v>
      </c>
      <c r="C50" t="s">
        <v>150</v>
      </c>
    </row>
    <row r="52" spans="1:3" x14ac:dyDescent="0.35">
      <c r="A52" s="88">
        <v>44803</v>
      </c>
      <c r="B52" t="s">
        <v>151</v>
      </c>
      <c r="C52" t="s">
        <v>152</v>
      </c>
    </row>
    <row r="54" spans="1:3" x14ac:dyDescent="0.35">
      <c r="A54" s="88">
        <v>45230</v>
      </c>
      <c r="B54" t="s">
        <v>153</v>
      </c>
      <c r="C54" t="s">
        <v>154</v>
      </c>
    </row>
    <row r="56" spans="1:3" x14ac:dyDescent="0.35">
      <c r="A56" s="88">
        <v>45259</v>
      </c>
      <c r="B56" t="s">
        <v>155</v>
      </c>
      <c r="C56" t="s">
        <v>156</v>
      </c>
    </row>
    <row r="58" spans="1:3" x14ac:dyDescent="0.35">
      <c r="A58" s="88">
        <v>45372</v>
      </c>
      <c r="B58" t="s">
        <v>158</v>
      </c>
      <c r="C58" t="s">
        <v>159</v>
      </c>
    </row>
    <row r="60" spans="1:3" x14ac:dyDescent="0.35">
      <c r="A60" s="88">
        <v>45523</v>
      </c>
      <c r="B60" t="s">
        <v>161</v>
      </c>
      <c r="C60" t="s">
        <v>162</v>
      </c>
    </row>
    <row r="62" spans="1:3" x14ac:dyDescent="0.35">
      <c r="A62" s="88">
        <v>45531</v>
      </c>
      <c r="B62" t="s">
        <v>163</v>
      </c>
      <c r="C62" t="s">
        <v>164</v>
      </c>
    </row>
    <row r="64" spans="1:3" x14ac:dyDescent="0.35">
      <c r="A64" s="88">
        <v>45539</v>
      </c>
      <c r="B64" t="s">
        <v>167</v>
      </c>
      <c r="C64" t="s">
        <v>165</v>
      </c>
    </row>
    <row r="66" spans="1:3" x14ac:dyDescent="0.35">
      <c r="A66" s="88">
        <v>45624</v>
      </c>
      <c r="B66" t="s">
        <v>166</v>
      </c>
      <c r="C66" t="s">
        <v>168</v>
      </c>
    </row>
    <row r="68" spans="1:3" x14ac:dyDescent="0.35">
      <c r="A68" s="88">
        <v>45846</v>
      </c>
      <c r="B68" t="s">
        <v>169</v>
      </c>
      <c r="C68" t="s">
        <v>165</v>
      </c>
    </row>
    <row r="70" spans="1:3" x14ac:dyDescent="0.35">
      <c r="A70" s="88">
        <v>45870</v>
      </c>
      <c r="B70" t="s">
        <v>170</v>
      </c>
      <c r="C70" t="s">
        <v>156</v>
      </c>
    </row>
    <row r="72" spans="1:3" x14ac:dyDescent="0.35">
      <c r="A72" s="88">
        <v>46020</v>
      </c>
      <c r="B72" t="s">
        <v>171</v>
      </c>
      <c r="C72" t="s">
        <v>172</v>
      </c>
    </row>
  </sheetData>
  <sheetProtection algorithmName="SHA-512" hashValue="ipMHTs3m9aTWj10Y/ueciYmioxZlr78V0bKZvIScY989MtMndDe0NY7lyGkC5pTEDeyy+h/gl1hIzm8bc//uvQ==" saltValue="wY76r/4yMVMqc8QimHGgp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0B38-C5BA-4B89-AE86-6C7443E4D577}">
  <sheetPr codeName="Sheet3"/>
  <dimension ref="B2:AH38"/>
  <sheetViews>
    <sheetView zoomScaleNormal="100" workbookViewId="0">
      <selection activeCell="K10" sqref="K10"/>
    </sheetView>
  </sheetViews>
  <sheetFormatPr defaultColWidth="8.84375" defaultRowHeight="12.9" x14ac:dyDescent="0.35"/>
  <cols>
    <col min="6" max="6" width="8.53515625" customWidth="1"/>
    <col min="7" max="7" width="14.15234375" customWidth="1"/>
    <col min="8" max="8" width="11.4609375" customWidth="1"/>
    <col min="9" max="9" width="12.84375" customWidth="1"/>
    <col min="12" max="12" width="7.4609375" customWidth="1"/>
    <col min="13" max="13" width="6.84375" customWidth="1"/>
    <col min="14" max="14" width="6.53515625" customWidth="1"/>
    <col min="15" max="15" width="7.4609375" customWidth="1"/>
    <col min="16" max="16" width="7.15234375" customWidth="1"/>
    <col min="17" max="18" width="6.4609375" customWidth="1"/>
    <col min="19" max="20" width="6.15234375" customWidth="1"/>
    <col min="21" max="21" width="6.4609375" customWidth="1"/>
    <col min="22" max="22" width="5.53515625" customWidth="1"/>
    <col min="23" max="24" width="5" customWidth="1"/>
    <col min="25" max="25" width="6.4609375" customWidth="1"/>
    <col min="26" max="26" width="5.53515625" customWidth="1"/>
    <col min="27" max="27" width="6.84375" customWidth="1"/>
    <col min="28" max="28" width="5.53515625" customWidth="1"/>
    <col min="29" max="29" width="6.15234375" customWidth="1"/>
    <col min="30" max="30" width="5.84375" customWidth="1"/>
    <col min="31" max="31" width="5.53515625" customWidth="1"/>
    <col min="32" max="32" width="15.4609375" customWidth="1"/>
  </cols>
  <sheetData>
    <row r="2" spans="2:34" x14ac:dyDescent="0.35">
      <c r="B2" s="204" t="s">
        <v>13</v>
      </c>
      <c r="C2" s="204"/>
      <c r="D2" s="204"/>
      <c r="F2" s="91" t="s">
        <v>30</v>
      </c>
      <c r="G2" s="91" t="s">
        <v>31</v>
      </c>
      <c r="H2" s="91" t="s">
        <v>71</v>
      </c>
      <c r="I2" s="91" t="s">
        <v>32</v>
      </c>
      <c r="J2" s="91" t="s">
        <v>29</v>
      </c>
      <c r="K2" s="91" t="s">
        <v>35</v>
      </c>
      <c r="L2" s="91" t="s">
        <v>51</v>
      </c>
      <c r="M2" s="91" t="s">
        <v>52</v>
      </c>
      <c r="N2" s="91" t="s">
        <v>53</v>
      </c>
      <c r="O2" s="91" t="s">
        <v>54</v>
      </c>
      <c r="P2" s="91" t="s">
        <v>55</v>
      </c>
      <c r="Q2" s="91" t="s">
        <v>56</v>
      </c>
      <c r="R2" s="91" t="s">
        <v>57</v>
      </c>
      <c r="S2" s="91" t="s">
        <v>58</v>
      </c>
      <c r="T2" s="91" t="s">
        <v>59</v>
      </c>
      <c r="U2" s="91" t="s">
        <v>60</v>
      </c>
      <c r="V2" s="91" t="s">
        <v>61</v>
      </c>
      <c r="W2" s="91" t="s">
        <v>62</v>
      </c>
      <c r="X2" s="91" t="s">
        <v>63</v>
      </c>
      <c r="Y2" s="91" t="s">
        <v>64</v>
      </c>
      <c r="Z2" s="91" t="s">
        <v>65</v>
      </c>
      <c r="AA2" s="91" t="s">
        <v>66</v>
      </c>
      <c r="AB2" s="91" t="s">
        <v>67</v>
      </c>
      <c r="AC2" s="91" t="s">
        <v>68</v>
      </c>
      <c r="AD2" s="91" t="s">
        <v>69</v>
      </c>
      <c r="AE2" s="91" t="s">
        <v>70</v>
      </c>
      <c r="AF2" s="91" t="s">
        <v>104</v>
      </c>
      <c r="AG2" s="91" t="s">
        <v>121</v>
      </c>
      <c r="AH2" s="91" t="s">
        <v>122</v>
      </c>
    </row>
    <row r="3" spans="2:34" x14ac:dyDescent="0.35">
      <c r="B3" s="92">
        <f>VLOOKUP('C172'!J4,Data!F3:AE12,7,FALSE)</f>
        <v>35</v>
      </c>
      <c r="C3" s="201">
        <f>VLOOKUP('C172'!J4,Data!F3:AE12,12,FALSE)</f>
        <v>1500</v>
      </c>
      <c r="D3" s="202"/>
      <c r="F3" s="93" t="s">
        <v>46</v>
      </c>
      <c r="G3" s="93">
        <v>1460.08</v>
      </c>
      <c r="H3" s="93">
        <v>2300</v>
      </c>
      <c r="I3" s="93">
        <v>39.69</v>
      </c>
      <c r="J3" s="93">
        <v>48</v>
      </c>
      <c r="K3" s="93">
        <v>38</v>
      </c>
      <c r="L3" s="93">
        <v>35</v>
      </c>
      <c r="M3" s="93">
        <v>35</v>
      </c>
      <c r="N3" s="93">
        <v>38.5</v>
      </c>
      <c r="O3" s="93">
        <v>47.25</v>
      </c>
      <c r="P3" s="93">
        <v>47.25</v>
      </c>
      <c r="Q3" s="93">
        <v>1500</v>
      </c>
      <c r="R3" s="93">
        <v>1950</v>
      </c>
      <c r="S3" s="93">
        <v>2300</v>
      </c>
      <c r="T3" s="93">
        <v>2300</v>
      </c>
      <c r="U3" s="93">
        <v>1500</v>
      </c>
      <c r="V3" s="93">
        <v>35</v>
      </c>
      <c r="W3" s="93">
        <v>35</v>
      </c>
      <c r="X3" s="93">
        <v>35.6</v>
      </c>
      <c r="Y3" s="93">
        <v>40.5</v>
      </c>
      <c r="Z3" s="93">
        <v>40.5</v>
      </c>
      <c r="AA3" s="93">
        <v>1500</v>
      </c>
      <c r="AB3" s="93">
        <v>1950</v>
      </c>
      <c r="AC3" s="93">
        <v>2000</v>
      </c>
      <c r="AD3" s="93">
        <v>2000</v>
      </c>
      <c r="AE3" s="93">
        <v>1500</v>
      </c>
      <c r="AF3" s="93">
        <v>57945.34</v>
      </c>
      <c r="AG3" s="93">
        <v>6</v>
      </c>
      <c r="AH3" s="93">
        <v>8</v>
      </c>
    </row>
    <row r="4" spans="2:34" x14ac:dyDescent="0.35">
      <c r="B4" s="92">
        <f>VLOOKUP('C172'!J4,Data!F3:AE12,8,FALSE)</f>
        <v>35</v>
      </c>
      <c r="C4" s="201">
        <f>VLOOKUP('C172'!J4,Data!F3:AE12,13,FALSE)</f>
        <v>1950</v>
      </c>
      <c r="D4" s="202"/>
      <c r="F4" s="93" t="s">
        <v>96</v>
      </c>
      <c r="G4" s="93">
        <v>1402.2</v>
      </c>
      <c r="H4" s="93">
        <v>2300</v>
      </c>
      <c r="I4" s="93">
        <v>39.119999999999997</v>
      </c>
      <c r="J4" s="93">
        <v>48</v>
      </c>
      <c r="K4" s="93">
        <v>38</v>
      </c>
      <c r="L4" s="93">
        <v>35</v>
      </c>
      <c r="M4" s="93">
        <v>35</v>
      </c>
      <c r="N4" s="93">
        <v>38.5</v>
      </c>
      <c r="O4" s="93">
        <v>47.25</v>
      </c>
      <c r="P4" s="93">
        <v>47.25</v>
      </c>
      <c r="Q4" s="93">
        <v>1500</v>
      </c>
      <c r="R4" s="93">
        <v>1950</v>
      </c>
      <c r="S4" s="93">
        <v>2300</v>
      </c>
      <c r="T4" s="93">
        <v>2300</v>
      </c>
      <c r="U4" s="93">
        <v>1500</v>
      </c>
      <c r="V4" s="93">
        <v>35</v>
      </c>
      <c r="W4" s="93">
        <v>35</v>
      </c>
      <c r="X4" s="93">
        <v>35.6</v>
      </c>
      <c r="Y4" s="93">
        <v>40.5</v>
      </c>
      <c r="Z4" s="93">
        <v>40.5</v>
      </c>
      <c r="AA4" s="93">
        <v>1500</v>
      </c>
      <c r="AB4" s="93">
        <v>1950</v>
      </c>
      <c r="AC4" s="93">
        <v>2000</v>
      </c>
      <c r="AD4" s="93">
        <v>2000</v>
      </c>
      <c r="AE4" s="93">
        <v>1500</v>
      </c>
      <c r="AF4" s="93">
        <v>54849.46</v>
      </c>
      <c r="AG4" s="93">
        <v>6</v>
      </c>
      <c r="AH4" s="93">
        <v>8</v>
      </c>
    </row>
    <row r="5" spans="2:34" x14ac:dyDescent="0.35">
      <c r="B5" s="92">
        <f>VLOOKUP('C172'!J4,Data!F3:AE12,9,FALSE)</f>
        <v>38.5</v>
      </c>
      <c r="C5" s="201">
        <f>VLOOKUP('C172'!J4,Data!F3:AE12,14,FALSE)</f>
        <v>2300</v>
      </c>
      <c r="D5" s="202"/>
      <c r="F5" s="93" t="s">
        <v>47</v>
      </c>
      <c r="G5" s="93">
        <v>1477.47</v>
      </c>
      <c r="H5" s="93">
        <v>2300</v>
      </c>
      <c r="I5" s="93">
        <v>39.69</v>
      </c>
      <c r="J5" s="93">
        <v>48</v>
      </c>
      <c r="K5" s="93">
        <v>38</v>
      </c>
      <c r="L5" s="93">
        <v>35</v>
      </c>
      <c r="M5" s="93">
        <v>35</v>
      </c>
      <c r="N5" s="93">
        <v>38.5</v>
      </c>
      <c r="O5" s="93">
        <v>47.25</v>
      </c>
      <c r="P5" s="93">
        <v>47.25</v>
      </c>
      <c r="Q5" s="93">
        <v>1500</v>
      </c>
      <c r="R5" s="93">
        <v>1950</v>
      </c>
      <c r="S5" s="93">
        <v>2300</v>
      </c>
      <c r="T5" s="93">
        <v>2300</v>
      </c>
      <c r="U5" s="93">
        <v>1500</v>
      </c>
      <c r="V5" s="93">
        <v>35</v>
      </c>
      <c r="W5" s="93">
        <v>35</v>
      </c>
      <c r="X5" s="93">
        <v>35.6</v>
      </c>
      <c r="Y5" s="93">
        <v>40.5</v>
      </c>
      <c r="Z5" s="93">
        <v>40.5</v>
      </c>
      <c r="AA5" s="93">
        <v>1500</v>
      </c>
      <c r="AB5" s="93">
        <v>1950</v>
      </c>
      <c r="AC5" s="93">
        <v>2000</v>
      </c>
      <c r="AD5" s="93">
        <v>2000</v>
      </c>
      <c r="AE5" s="93">
        <v>1500</v>
      </c>
      <c r="AF5" s="93">
        <v>58633.46</v>
      </c>
      <c r="AG5" s="93">
        <v>6</v>
      </c>
      <c r="AH5" s="93">
        <v>8</v>
      </c>
    </row>
    <row r="6" spans="2:34" x14ac:dyDescent="0.35">
      <c r="B6" s="92">
        <f>VLOOKUP('C172'!J4,Data!F3:AE12,10,FALSE)</f>
        <v>47.25</v>
      </c>
      <c r="C6" s="201">
        <f>VLOOKUP('C172'!J4,Data!F3:AE12,15,FALSE)</f>
        <v>2300</v>
      </c>
      <c r="D6" s="202"/>
      <c r="F6" s="93" t="s">
        <v>48</v>
      </c>
      <c r="G6" s="93">
        <v>1410</v>
      </c>
      <c r="H6" s="93">
        <v>2300</v>
      </c>
      <c r="I6" s="93">
        <v>40.29</v>
      </c>
      <c r="J6" s="93">
        <v>48</v>
      </c>
      <c r="K6" s="93">
        <v>38</v>
      </c>
      <c r="L6" s="93">
        <v>35</v>
      </c>
      <c r="M6" s="93">
        <v>35</v>
      </c>
      <c r="N6" s="93">
        <v>38.5</v>
      </c>
      <c r="O6" s="93">
        <v>47.25</v>
      </c>
      <c r="P6" s="93">
        <v>47.25</v>
      </c>
      <c r="Q6" s="93">
        <v>1500</v>
      </c>
      <c r="R6" s="93">
        <v>1950</v>
      </c>
      <c r="S6" s="93">
        <v>2300</v>
      </c>
      <c r="T6" s="93">
        <v>2300</v>
      </c>
      <c r="U6" s="93">
        <v>1500</v>
      </c>
      <c r="V6" s="93">
        <v>35</v>
      </c>
      <c r="W6" s="93">
        <v>35</v>
      </c>
      <c r="X6" s="93">
        <v>35.6</v>
      </c>
      <c r="Y6" s="93">
        <v>40.5</v>
      </c>
      <c r="Z6" s="93">
        <v>40.5</v>
      </c>
      <c r="AA6" s="93">
        <v>1500</v>
      </c>
      <c r="AB6" s="93">
        <v>1950</v>
      </c>
      <c r="AC6" s="93">
        <v>2000</v>
      </c>
      <c r="AD6" s="93">
        <v>2000</v>
      </c>
      <c r="AE6" s="93">
        <v>1500</v>
      </c>
      <c r="AF6" s="93">
        <v>56801.98</v>
      </c>
      <c r="AG6" s="93">
        <v>6</v>
      </c>
      <c r="AH6" s="93">
        <v>8</v>
      </c>
    </row>
    <row r="7" spans="2:34" x14ac:dyDescent="0.35">
      <c r="B7" s="92">
        <f>VLOOKUP('C172'!J4,Data!F3:AE12,11,FALSE)</f>
        <v>47.25</v>
      </c>
      <c r="C7" s="201">
        <f>VLOOKUP('C172'!J4,Data!F3:AE12,16,FALSE)</f>
        <v>1500</v>
      </c>
      <c r="D7" s="202"/>
      <c r="F7" s="93" t="s">
        <v>49</v>
      </c>
      <c r="G7" s="93">
        <v>1458.64</v>
      </c>
      <c r="H7" s="93">
        <v>2400</v>
      </c>
      <c r="I7" s="93">
        <v>39.01</v>
      </c>
      <c r="J7" s="93">
        <v>48</v>
      </c>
      <c r="K7" s="93">
        <v>40</v>
      </c>
      <c r="L7" s="93">
        <v>35</v>
      </c>
      <c r="M7" s="93">
        <v>35</v>
      </c>
      <c r="N7" s="93">
        <v>39.5</v>
      </c>
      <c r="O7" s="93">
        <v>47.25</v>
      </c>
      <c r="P7" s="93">
        <v>47.25</v>
      </c>
      <c r="Q7" s="93">
        <v>1500</v>
      </c>
      <c r="R7" s="93">
        <v>1950</v>
      </c>
      <c r="S7" s="93">
        <v>2400</v>
      </c>
      <c r="T7" s="93">
        <v>2400</v>
      </c>
      <c r="U7" s="93">
        <v>1500</v>
      </c>
      <c r="V7" s="93">
        <v>35</v>
      </c>
      <c r="W7" s="93">
        <v>35</v>
      </c>
      <c r="X7" s="93">
        <v>36.5</v>
      </c>
      <c r="Y7" s="93">
        <v>40.5</v>
      </c>
      <c r="Z7" s="93">
        <v>40.5</v>
      </c>
      <c r="AA7" s="93">
        <v>1500</v>
      </c>
      <c r="AB7" s="93">
        <v>1950</v>
      </c>
      <c r="AC7" s="93">
        <v>2100</v>
      </c>
      <c r="AD7" s="93">
        <v>2100</v>
      </c>
      <c r="AE7" s="93">
        <v>1500</v>
      </c>
      <c r="AF7" s="93">
        <v>56901.73</v>
      </c>
      <c r="AG7" s="93">
        <v>5</v>
      </c>
      <c r="AH7" s="93">
        <v>7</v>
      </c>
    </row>
    <row r="8" spans="2:34" x14ac:dyDescent="0.35">
      <c r="B8" s="94"/>
      <c r="C8" s="203"/>
      <c r="D8" s="203"/>
      <c r="F8" s="93" t="s">
        <v>50</v>
      </c>
      <c r="G8" s="93">
        <v>1477.13</v>
      </c>
      <c r="H8" s="93">
        <v>2400</v>
      </c>
      <c r="I8" s="93">
        <v>39.14</v>
      </c>
      <c r="J8" s="93">
        <v>48</v>
      </c>
      <c r="K8" s="93">
        <v>50</v>
      </c>
      <c r="L8" s="93">
        <v>35</v>
      </c>
      <c r="M8" s="93">
        <v>35</v>
      </c>
      <c r="N8" s="93">
        <v>39.5</v>
      </c>
      <c r="O8" s="93">
        <v>47.25</v>
      </c>
      <c r="P8" s="93">
        <v>47.25</v>
      </c>
      <c r="Q8" s="93">
        <v>1500</v>
      </c>
      <c r="R8" s="93">
        <v>1950</v>
      </c>
      <c r="S8" s="93">
        <v>2400</v>
      </c>
      <c r="T8" s="93">
        <v>2400</v>
      </c>
      <c r="U8" s="93">
        <v>1500</v>
      </c>
      <c r="V8" s="93">
        <v>35</v>
      </c>
      <c r="W8" s="93">
        <v>35</v>
      </c>
      <c r="X8" s="93">
        <v>36.5</v>
      </c>
      <c r="Y8" s="93">
        <v>40.5</v>
      </c>
      <c r="Z8" s="93">
        <v>40.5</v>
      </c>
      <c r="AA8" s="93">
        <v>1500</v>
      </c>
      <c r="AB8" s="93">
        <v>1950</v>
      </c>
      <c r="AC8" s="93">
        <v>2100</v>
      </c>
      <c r="AD8" s="93">
        <v>2100</v>
      </c>
      <c r="AE8" s="93">
        <v>1500</v>
      </c>
      <c r="AF8" s="93">
        <v>57826.76</v>
      </c>
      <c r="AG8" s="93">
        <v>4</v>
      </c>
      <c r="AH8" s="93">
        <v>6</v>
      </c>
    </row>
    <row r="9" spans="2:34" x14ac:dyDescent="0.35">
      <c r="B9" s="95"/>
      <c r="C9" s="95"/>
      <c r="D9" s="95"/>
      <c r="F9" s="93" t="s">
        <v>111</v>
      </c>
      <c r="G9" s="93">
        <v>1645.51</v>
      </c>
      <c r="H9" s="93">
        <v>2450</v>
      </c>
      <c r="I9" s="93">
        <v>39.33</v>
      </c>
      <c r="J9" s="93">
        <v>48</v>
      </c>
      <c r="K9" s="93">
        <v>53</v>
      </c>
      <c r="L9" s="93">
        <v>35</v>
      </c>
      <c r="M9" s="93">
        <v>35</v>
      </c>
      <c r="N9" s="93">
        <v>40</v>
      </c>
      <c r="O9" s="93">
        <v>47.4</v>
      </c>
      <c r="P9" s="93">
        <v>47.4</v>
      </c>
      <c r="Q9" s="93">
        <v>1500</v>
      </c>
      <c r="R9" s="93">
        <v>1950</v>
      </c>
      <c r="S9" s="93">
        <v>2450</v>
      </c>
      <c r="T9" s="93">
        <v>2450</v>
      </c>
      <c r="U9" s="93">
        <v>1500</v>
      </c>
      <c r="V9" s="93">
        <v>35</v>
      </c>
      <c r="W9" s="93">
        <v>35</v>
      </c>
      <c r="X9" s="93">
        <v>36.5</v>
      </c>
      <c r="Y9" s="93">
        <v>40.5</v>
      </c>
      <c r="Z9" s="93">
        <v>40.5</v>
      </c>
      <c r="AA9" s="93">
        <v>1500</v>
      </c>
      <c r="AB9" s="93">
        <v>1950</v>
      </c>
      <c r="AC9" s="93">
        <v>2100</v>
      </c>
      <c r="AD9" s="93">
        <v>2100</v>
      </c>
      <c r="AE9" s="93">
        <v>1500</v>
      </c>
      <c r="AF9" s="93">
        <v>64710.73</v>
      </c>
      <c r="AG9" s="93">
        <v>5</v>
      </c>
      <c r="AH9" s="93">
        <v>8</v>
      </c>
    </row>
    <row r="10" spans="2:34" x14ac:dyDescent="0.35">
      <c r="B10" s="197" t="s">
        <v>15</v>
      </c>
      <c r="C10" s="197"/>
      <c r="D10" s="197"/>
      <c r="F10" s="93" t="s">
        <v>128</v>
      </c>
      <c r="G10" s="93">
        <v>1673.06</v>
      </c>
      <c r="H10" s="93">
        <v>2450</v>
      </c>
      <c r="I10" s="93">
        <v>40.26</v>
      </c>
      <c r="J10" s="93">
        <v>48</v>
      </c>
      <c r="K10" s="93">
        <v>53</v>
      </c>
      <c r="L10" s="93">
        <v>35</v>
      </c>
      <c r="M10" s="93">
        <v>35</v>
      </c>
      <c r="N10" s="93">
        <v>40</v>
      </c>
      <c r="O10" s="93">
        <v>47.4</v>
      </c>
      <c r="P10" s="93">
        <v>47.4</v>
      </c>
      <c r="Q10" s="93">
        <v>1500</v>
      </c>
      <c r="R10" s="93">
        <v>1950</v>
      </c>
      <c r="S10" s="93">
        <v>2450</v>
      </c>
      <c r="T10" s="93">
        <v>2450</v>
      </c>
      <c r="U10" s="93">
        <v>1500</v>
      </c>
      <c r="V10" s="93">
        <v>35</v>
      </c>
      <c r="W10" s="93">
        <v>35</v>
      </c>
      <c r="X10" s="93">
        <v>36.5</v>
      </c>
      <c r="Y10" s="93">
        <v>40.5</v>
      </c>
      <c r="Z10" s="93">
        <v>40.5</v>
      </c>
      <c r="AA10" s="93">
        <v>1500</v>
      </c>
      <c r="AB10" s="93">
        <v>1950</v>
      </c>
      <c r="AC10" s="93">
        <v>2100</v>
      </c>
      <c r="AD10" s="93">
        <v>2100</v>
      </c>
      <c r="AE10" s="93">
        <v>1500</v>
      </c>
      <c r="AF10" s="93">
        <v>67354.33</v>
      </c>
      <c r="AG10" s="93">
        <v>5</v>
      </c>
      <c r="AH10" s="93">
        <v>8</v>
      </c>
    </row>
    <row r="11" spans="2:34" x14ac:dyDescent="0.35">
      <c r="B11" s="96">
        <f>'C172'!L13</f>
        <v>1460.08</v>
      </c>
      <c r="C11" s="198">
        <f>'C172'!M13</f>
        <v>39.686414443044214</v>
      </c>
      <c r="D11" s="198"/>
      <c r="F11" s="93" t="s">
        <v>136</v>
      </c>
      <c r="G11" s="93">
        <v>1411.95</v>
      </c>
      <c r="H11" s="93">
        <v>2300</v>
      </c>
      <c r="I11" s="93">
        <v>39.79</v>
      </c>
      <c r="J11" s="93">
        <v>48</v>
      </c>
      <c r="K11" s="93">
        <v>48</v>
      </c>
      <c r="L11" s="93">
        <v>35</v>
      </c>
      <c r="M11" s="93">
        <v>35</v>
      </c>
      <c r="N11" s="93">
        <v>38.5</v>
      </c>
      <c r="O11" s="93">
        <v>47.25</v>
      </c>
      <c r="P11" s="93">
        <v>47.25</v>
      </c>
      <c r="Q11" s="93">
        <v>1500</v>
      </c>
      <c r="R11" s="93">
        <v>1950</v>
      </c>
      <c r="S11" s="93">
        <v>2300</v>
      </c>
      <c r="T11" s="93">
        <v>2300</v>
      </c>
      <c r="U11" s="93">
        <v>1500</v>
      </c>
      <c r="V11" s="93">
        <v>35</v>
      </c>
      <c r="W11" s="93">
        <v>35</v>
      </c>
      <c r="X11" s="93">
        <v>35.6</v>
      </c>
      <c r="Y11" s="93">
        <v>40.5</v>
      </c>
      <c r="Z11" s="93">
        <v>40.5</v>
      </c>
      <c r="AA11" s="93">
        <v>1500</v>
      </c>
      <c r="AB11" s="93">
        <v>1950</v>
      </c>
      <c r="AC11" s="93">
        <v>2000</v>
      </c>
      <c r="AD11" s="93">
        <v>2000</v>
      </c>
      <c r="AE11" s="93">
        <v>1500</v>
      </c>
      <c r="AF11" s="93">
        <v>56178.28</v>
      </c>
      <c r="AG11" s="93">
        <v>6</v>
      </c>
      <c r="AH11" s="93">
        <v>8</v>
      </c>
    </row>
    <row r="12" spans="2:34" x14ac:dyDescent="0.35">
      <c r="B12" s="96">
        <f>'C172'!L18</f>
        <v>1453.08</v>
      </c>
      <c r="C12" s="198">
        <f>'C172'!M18</f>
        <v>39.64636496269992</v>
      </c>
      <c r="D12" s="198"/>
      <c r="F12" s="93" t="s">
        <v>160</v>
      </c>
      <c r="G12" s="93">
        <v>1409.4</v>
      </c>
      <c r="H12" s="93">
        <v>2300</v>
      </c>
      <c r="I12" s="93">
        <v>38.799999999999997</v>
      </c>
      <c r="J12" s="93">
        <v>48</v>
      </c>
      <c r="K12" s="93">
        <v>38</v>
      </c>
      <c r="L12" s="93">
        <v>35</v>
      </c>
      <c r="M12" s="93">
        <v>35</v>
      </c>
      <c r="N12" s="93">
        <v>38.5</v>
      </c>
      <c r="O12" s="93">
        <v>47.25</v>
      </c>
      <c r="P12" s="93">
        <v>47.25</v>
      </c>
      <c r="Q12" s="93">
        <v>1500</v>
      </c>
      <c r="R12" s="93">
        <v>1950</v>
      </c>
      <c r="S12" s="93">
        <v>2300</v>
      </c>
      <c r="T12" s="93">
        <v>2300</v>
      </c>
      <c r="U12" s="93">
        <v>1500</v>
      </c>
      <c r="V12" s="93">
        <v>35</v>
      </c>
      <c r="W12" s="93">
        <v>35</v>
      </c>
      <c r="X12" s="93">
        <v>35.6</v>
      </c>
      <c r="Y12" s="93">
        <v>40.5</v>
      </c>
      <c r="Z12" s="93">
        <v>40.5</v>
      </c>
      <c r="AA12" s="93">
        <v>1500</v>
      </c>
      <c r="AB12" s="93">
        <v>1950</v>
      </c>
      <c r="AC12" s="93">
        <v>2000</v>
      </c>
      <c r="AD12" s="93">
        <v>2000</v>
      </c>
      <c r="AE12" s="93">
        <v>1500</v>
      </c>
      <c r="AF12" s="93">
        <v>54679.48</v>
      </c>
      <c r="AG12" s="93">
        <v>6</v>
      </c>
      <c r="AH12" s="93">
        <v>8</v>
      </c>
    </row>
    <row r="13" spans="2:34" x14ac:dyDescent="0.35">
      <c r="B13" s="96">
        <f>'C172'!L16</f>
        <v>1453.08</v>
      </c>
      <c r="C13" s="198">
        <f>'C172'!M16</f>
        <v>39.64636496269992</v>
      </c>
      <c r="D13" s="198"/>
    </row>
    <row r="14" spans="2:34" x14ac:dyDescent="0.35">
      <c r="B14" s="95"/>
      <c r="C14" s="95"/>
      <c r="D14" s="95"/>
      <c r="F14" s="208" t="s">
        <v>42</v>
      </c>
      <c r="G14" s="209"/>
      <c r="I14" s="91" t="s">
        <v>43</v>
      </c>
      <c r="J14" s="93"/>
    </row>
    <row r="15" spans="2:34" x14ac:dyDescent="0.35">
      <c r="B15" s="205" t="s">
        <v>7</v>
      </c>
      <c r="C15" s="206"/>
      <c r="D15" s="207"/>
      <c r="F15" s="93">
        <v>35</v>
      </c>
      <c r="G15" s="93">
        <v>1500</v>
      </c>
      <c r="I15" s="98">
        <v>35</v>
      </c>
      <c r="J15" s="99">
        <v>1500</v>
      </c>
    </row>
    <row r="16" spans="2:34" x14ac:dyDescent="0.35">
      <c r="B16" s="97">
        <f>VLOOKUP('C172'!J4, Data!F3:J12, 3, FALSE)</f>
        <v>2300</v>
      </c>
      <c r="C16" s="199" t="s">
        <v>16</v>
      </c>
      <c r="D16" s="200"/>
      <c r="F16" s="93">
        <v>35</v>
      </c>
      <c r="G16" s="93">
        <v>1950</v>
      </c>
      <c r="I16" s="98">
        <v>35</v>
      </c>
      <c r="J16" s="99">
        <v>1950</v>
      </c>
    </row>
    <row r="17" spans="2:10" x14ac:dyDescent="0.35">
      <c r="B17" s="97">
        <f>VLOOKUP('C172'!J4, Data!F3:J12, 2, FALSE)</f>
        <v>1460.08</v>
      </c>
      <c r="C17" s="199" t="s">
        <v>17</v>
      </c>
      <c r="D17" s="200"/>
      <c r="F17" s="93">
        <v>38.5</v>
      </c>
      <c r="G17" s="93">
        <v>2300</v>
      </c>
      <c r="I17" s="98">
        <v>35.6</v>
      </c>
      <c r="J17" s="99">
        <v>2000</v>
      </c>
    </row>
    <row r="18" spans="2:10" x14ac:dyDescent="0.35">
      <c r="B18" s="100">
        <v>120</v>
      </c>
      <c r="C18" s="199" t="s">
        <v>33</v>
      </c>
      <c r="D18" s="200"/>
      <c r="F18" s="93">
        <v>47.25</v>
      </c>
      <c r="G18" s="93">
        <v>2300</v>
      </c>
      <c r="I18" s="98">
        <v>40.5</v>
      </c>
      <c r="J18" s="99">
        <v>2000</v>
      </c>
    </row>
    <row r="19" spans="2:10" x14ac:dyDescent="0.35">
      <c r="B19" s="100">
        <v>50</v>
      </c>
      <c r="C19" s="199" t="s">
        <v>34</v>
      </c>
      <c r="D19" s="200"/>
      <c r="F19" s="93">
        <v>47.25</v>
      </c>
      <c r="G19" s="93">
        <v>1500</v>
      </c>
      <c r="I19" s="98">
        <v>40.5</v>
      </c>
      <c r="J19" s="99">
        <v>1500</v>
      </c>
    </row>
    <row r="20" spans="2:10" x14ac:dyDescent="0.35">
      <c r="B20" s="97">
        <f>VLOOKUP('C172'!J4, Data!F3:K12, 6, FALSE)</f>
        <v>38</v>
      </c>
      <c r="C20" s="199" t="s">
        <v>18</v>
      </c>
      <c r="D20" s="200"/>
    </row>
    <row r="21" spans="2:10" x14ac:dyDescent="0.35">
      <c r="B21" s="97">
        <v>0</v>
      </c>
      <c r="C21" s="199" t="s">
        <v>19</v>
      </c>
      <c r="D21" s="200"/>
      <c r="F21" s="208" t="s">
        <v>44</v>
      </c>
      <c r="G21" s="209"/>
      <c r="I21" s="91" t="s">
        <v>45</v>
      </c>
      <c r="J21" s="93"/>
    </row>
    <row r="22" spans="2:10" x14ac:dyDescent="0.35">
      <c r="F22" s="93">
        <v>35</v>
      </c>
      <c r="G22" s="93">
        <v>1500</v>
      </c>
      <c r="I22" s="98">
        <v>35</v>
      </c>
      <c r="J22" s="99">
        <v>1500</v>
      </c>
    </row>
    <row r="23" spans="2:10" x14ac:dyDescent="0.35">
      <c r="B23" s="91" t="s">
        <v>38</v>
      </c>
      <c r="F23" s="93">
        <v>35</v>
      </c>
      <c r="G23" s="93">
        <v>1950</v>
      </c>
      <c r="I23" s="98">
        <v>35</v>
      </c>
      <c r="J23" s="99">
        <v>1950</v>
      </c>
    </row>
    <row r="24" spans="2:10" x14ac:dyDescent="0.35">
      <c r="B24" s="93" t="s">
        <v>85</v>
      </c>
      <c r="F24" s="93">
        <v>39.5</v>
      </c>
      <c r="G24" s="93">
        <v>2400</v>
      </c>
      <c r="I24" s="98">
        <v>36.6</v>
      </c>
      <c r="J24" s="99">
        <v>2100</v>
      </c>
    </row>
    <row r="25" spans="2:10" x14ac:dyDescent="0.35">
      <c r="B25" s="93" t="s">
        <v>36</v>
      </c>
      <c r="F25" s="93">
        <v>47.25</v>
      </c>
      <c r="G25" s="93">
        <v>2400</v>
      </c>
      <c r="I25" s="98">
        <v>40.5</v>
      </c>
      <c r="J25" s="99">
        <v>2100</v>
      </c>
    </row>
    <row r="26" spans="2:10" x14ac:dyDescent="0.35">
      <c r="B26" s="93" t="s">
        <v>37</v>
      </c>
      <c r="F26" s="93">
        <v>47.25</v>
      </c>
      <c r="G26" s="93">
        <v>1500</v>
      </c>
      <c r="I26" s="98">
        <v>40.5</v>
      </c>
      <c r="J26" s="99">
        <v>1500</v>
      </c>
    </row>
    <row r="28" spans="2:10" x14ac:dyDescent="0.35">
      <c r="B28" s="91" t="s">
        <v>72</v>
      </c>
      <c r="C28" s="93"/>
    </row>
    <row r="29" spans="2:10" x14ac:dyDescent="0.35">
      <c r="B29" s="98">
        <f>VLOOKUP('C172'!J4,Data!F3:AE12,17,FALSE)</f>
        <v>35</v>
      </c>
      <c r="C29" s="99">
        <f>VLOOKUP('C172'!J4,Data!F3:AE12,22,FALSE)</f>
        <v>1500</v>
      </c>
    </row>
    <row r="30" spans="2:10" x14ac:dyDescent="0.35">
      <c r="B30" s="98">
        <f>VLOOKUP('C172'!J4,Data!F3:AE12,18,FALSE)</f>
        <v>35</v>
      </c>
      <c r="C30" s="99">
        <f>VLOOKUP('C172'!J4,Data!F3:AE12,23,FALSE)</f>
        <v>1950</v>
      </c>
    </row>
    <row r="31" spans="2:10" x14ac:dyDescent="0.35">
      <c r="B31" s="98">
        <f>VLOOKUP('C172'!J4,Data!F3:AE12,19,FALSE)</f>
        <v>35.6</v>
      </c>
      <c r="C31" s="99">
        <f>VLOOKUP('C172'!J4,Data!F3:AE12,24,FALSE)</f>
        <v>2000</v>
      </c>
    </row>
    <row r="32" spans="2:10" x14ac:dyDescent="0.35">
      <c r="B32" s="98">
        <f>VLOOKUP('C172'!J4,Data!F3:AE12,20,FALSE)</f>
        <v>40.5</v>
      </c>
      <c r="C32" s="99">
        <f>VLOOKUP('C172'!J4,Data!F3:AE12,25,FALSE)</f>
        <v>2000</v>
      </c>
    </row>
    <row r="33" spans="2:3" x14ac:dyDescent="0.35">
      <c r="B33" s="98">
        <f>VLOOKUP('C172'!J4,Data!F3:AE12,21,FALSE)</f>
        <v>40.5</v>
      </c>
      <c r="C33" s="99">
        <f>VLOOKUP('C172'!J4,Data!F3:AE12,26,FALSE)</f>
        <v>1500</v>
      </c>
    </row>
    <row r="36" spans="2:3" x14ac:dyDescent="0.35">
      <c r="B36" s="93" t="s">
        <v>78</v>
      </c>
      <c r="C36" s="93" t="b">
        <f>'C172'!M18&lt;B3</f>
        <v>0</v>
      </c>
    </row>
    <row r="37" spans="2:3" x14ac:dyDescent="0.35">
      <c r="B37" s="93" t="s">
        <v>79</v>
      </c>
      <c r="C37" s="93" t="b">
        <f>OR(AND('C172'!G18&lt;C6,'C172'!G18&gt;(C4+(C6-C4)*('C172'!H18-B4)/(B6-B4))))</f>
        <v>0</v>
      </c>
    </row>
    <row r="38" spans="2:3" x14ac:dyDescent="0.35">
      <c r="B38" s="93" t="s">
        <v>80</v>
      </c>
      <c r="C38" s="93" t="b">
        <f>OR(AND('C172'!G18&lt;C6,'C172'!G18&gt;(C6+(C6-C5)*('C172'!H18-B5)/(B6-B5))))</f>
        <v>0</v>
      </c>
    </row>
  </sheetData>
  <sheetProtection algorithmName="SHA-512" hashValue="Z2O/eKrJ6bdZFB6NVhDg5CcYeLW96xRroIyYONJSXJtTgU3x6oB0d4HxrIfy/BmRc9vx1eJj4fn2SrtMbdxqMg==" saltValue="baik8N8iDGJWfAvnnejerg==" spinCount="100000" sheet="1" objects="1" scenarios="1" selectLockedCells="1" selectUnlockedCells="1"/>
  <mergeCells count="20">
    <mergeCell ref="C20:D20"/>
    <mergeCell ref="B15:D15"/>
    <mergeCell ref="C19:D19"/>
    <mergeCell ref="F14:G14"/>
    <mergeCell ref="F21:G21"/>
    <mergeCell ref="C21:D21"/>
    <mergeCell ref="C17:D17"/>
    <mergeCell ref="C18:D18"/>
    <mergeCell ref="C7:D7"/>
    <mergeCell ref="C8:D8"/>
    <mergeCell ref="B2:D2"/>
    <mergeCell ref="C3:D3"/>
    <mergeCell ref="C4:D4"/>
    <mergeCell ref="C5:D5"/>
    <mergeCell ref="C6:D6"/>
    <mergeCell ref="B10:D10"/>
    <mergeCell ref="C11:D11"/>
    <mergeCell ref="C12:D12"/>
    <mergeCell ref="C13:D13"/>
    <mergeCell ref="C16:D16"/>
  </mergeCells>
  <phoneticPr fontId="34" type="noConversion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C172</vt:lpstr>
      <vt:lpstr>Changelog</vt:lpstr>
      <vt:lpstr>Data</vt:lpstr>
      <vt:lpstr>idents</vt:lpstr>
      <vt:lpstr>'C172'!Print_Area</vt:lpstr>
    </vt:vector>
  </TitlesOfParts>
  <Manager/>
  <Company>Pacific Professional Flight Centre</Company>
  <LinksUpToDate>false</LinksUpToDate>
  <SharedDoc>false</SharedDoc>
  <HyperlinkBase>www.proifr.com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Cessna 172 Weight &amp; Balance Calculator</dc:title>
  <dc:subject>Weight and Balance Calculator</dc:subject>
  <dc:creator>info@proifr.com</dc:creator>
  <cp:keywords/>
  <dc:description>For use by pilots and students at Pacific Professional Flight Centre</dc:description>
  <cp:lastModifiedBy>Jia Gong</cp:lastModifiedBy>
  <cp:lastPrinted>2024-03-22T01:50:50Z</cp:lastPrinted>
  <dcterms:created xsi:type="dcterms:W3CDTF">2020-04-27T03:19:42Z</dcterms:created>
  <dcterms:modified xsi:type="dcterms:W3CDTF">2025-12-30T06:52:22Z</dcterms:modified>
  <cp:contentStatus>Released</cp:contentStatus>
</cp:coreProperties>
</file>